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80" yWindow="60" windowWidth="27825" windowHeight="10890" activeTab="16"/>
    <workbookView xWindow="28500" yWindow="105" windowWidth="24780" windowHeight="10965" activeTab="2"/>
  </bookViews>
  <sheets>
    <sheet name="Tab1" sheetId="1" r:id="rId1"/>
    <sheet name="Tab2a" sheetId="2" r:id="rId2"/>
    <sheet name="Tab2b" sheetId="3" r:id="rId3"/>
    <sheet name="Tab3" sheetId="4" r:id="rId4"/>
    <sheet name="Tab4" sheetId="5" r:id="rId5"/>
    <sheet name="Tab5" sheetId="6" r:id="rId6"/>
    <sheet name="Tab6" sheetId="7" r:id="rId7"/>
    <sheet name="Tab7" sheetId="8" r:id="rId8"/>
    <sheet name="Tab8" sheetId="9" r:id="rId9"/>
    <sheet name="Tab9" sheetId="10" r:id="rId10"/>
    <sheet name="Tab10" sheetId="11" r:id="rId11"/>
    <sheet name="Tab11 TEE" sheetId="12" r:id="rId12"/>
    <sheet name="Tab12" sheetId="13" r:id="rId13"/>
    <sheet name="Tab13" sheetId="14" state="hidden" r:id="rId14"/>
    <sheet name="Tab13." sheetId="15" r:id="rId15"/>
    <sheet name="Tab14A" sheetId="16" r:id="rId16"/>
    <sheet name="Tab14B" sheetId="17" r:id="rId17"/>
    <sheet name="Sheet1" sheetId="18" r:id="rId18"/>
  </sheets>
  <definedNames>
    <definedName name="_xlnm.Print_Area" localSheetId="0">'Tab1'!$A$1:$X$30</definedName>
    <definedName name="_xlnm.Print_Area" localSheetId="10">'Tab10'!$A$1:$N$54</definedName>
    <definedName name="_xlnm.Print_Area" localSheetId="11">'Tab11 TEE'!$A$1:$K$44</definedName>
    <definedName name="_xlnm.Print_Area" localSheetId="12">'Tab12'!$A$1:$Z$13</definedName>
    <definedName name="_xlnm.Print_Area" localSheetId="14">Tab13.!$A$1:$J$11</definedName>
    <definedName name="_xlnm.Print_Area" localSheetId="15">Tab14A!$A$1:$W$80</definedName>
    <definedName name="_xlnm.Print_Area" localSheetId="16">Tab14B!$A$1:$S$59</definedName>
    <definedName name="_xlnm.Print_Area" localSheetId="1">Tab2a!$A$1:$N$77</definedName>
    <definedName name="_xlnm.Print_Area" localSheetId="2">Tab2b!$A$1:$L$50</definedName>
    <definedName name="_xlnm.Print_Area" localSheetId="3">'Tab3'!$A$1:$I$38</definedName>
    <definedName name="_xlnm.Print_Area" localSheetId="8">'Tab8'!$A$1:$AD$183</definedName>
    <definedName name="_xlnm.Print_Area" localSheetId="9">'Tab9'!$A$1:$AA$81</definedName>
  </definedNam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8" i="17" l="1"/>
  <c r="S57" i="17"/>
  <c r="W30" i="16"/>
  <c r="AC75" i="9"/>
  <c r="AC73" i="9"/>
  <c r="AB73" i="9"/>
  <c r="AC72" i="9"/>
  <c r="AB72" i="9"/>
  <c r="AA72" i="9"/>
  <c r="X75" i="9"/>
  <c r="X74" i="9"/>
  <c r="X73" i="9"/>
  <c r="X72" i="9"/>
  <c r="V75" i="9"/>
  <c r="T75" i="9"/>
  <c r="V74" i="9"/>
  <c r="U74" i="9"/>
  <c r="V73" i="9"/>
  <c r="U73" i="9"/>
  <c r="T73" i="9"/>
  <c r="V72" i="9"/>
  <c r="T72" i="9"/>
  <c r="P75" i="9"/>
  <c r="P74" i="9"/>
  <c r="P73" i="9"/>
  <c r="P72" i="9"/>
  <c r="M75" i="9"/>
  <c r="M74" i="9"/>
  <c r="M73" i="9"/>
  <c r="M72" i="9"/>
  <c r="K75" i="9"/>
  <c r="K74" i="9"/>
  <c r="K73" i="9"/>
  <c r="K72" i="9"/>
  <c r="F73" i="9"/>
  <c r="X29" i="1"/>
  <c r="X27" i="1"/>
  <c r="X16" i="1"/>
  <c r="J19" i="12"/>
  <c r="K21" i="3"/>
  <c r="H13" i="3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W71" i="16"/>
  <c r="W56" i="16"/>
  <c r="W57" i="16"/>
  <c r="W58" i="16"/>
  <c r="W59" i="16"/>
  <c r="W60" i="16"/>
  <c r="W61" i="16"/>
  <c r="W62" i="16"/>
  <c r="W63" i="16"/>
  <c r="W65" i="16"/>
  <c r="W66" i="16"/>
  <c r="W67" i="16"/>
  <c r="W68" i="16"/>
  <c r="W69" i="16"/>
  <c r="W70" i="16"/>
  <c r="N62" i="16"/>
  <c r="N63" i="16"/>
  <c r="N65" i="16"/>
  <c r="N66" i="16"/>
  <c r="N67" i="16"/>
  <c r="N68" i="16"/>
  <c r="N69" i="16"/>
  <c r="N70" i="16"/>
  <c r="W45" i="16"/>
  <c r="W46" i="16"/>
  <c r="W47" i="16"/>
  <c r="W48" i="16"/>
  <c r="W49" i="16"/>
  <c r="W50" i="16"/>
  <c r="W51" i="16"/>
  <c r="V51" i="16"/>
  <c r="V48" i="16"/>
  <c r="M51" i="16"/>
  <c r="M48" i="16"/>
  <c r="N64" i="2"/>
  <c r="N65" i="2"/>
  <c r="N58" i="2"/>
  <c r="J64" i="2"/>
  <c r="J60" i="2"/>
  <c r="J59" i="2"/>
  <c r="J58" i="2"/>
  <c r="M49" i="2"/>
  <c r="M46" i="2"/>
  <c r="C46" i="11"/>
  <c r="J47" i="11"/>
  <c r="L47" i="11"/>
  <c r="N47" i="11"/>
  <c r="P47" i="11"/>
  <c r="C47" i="11"/>
  <c r="D68" i="10"/>
  <c r="I38" i="11"/>
  <c r="I36" i="11"/>
  <c r="I35" i="11"/>
  <c r="G37" i="11"/>
  <c r="G36" i="11"/>
  <c r="G35" i="11"/>
  <c r="F38" i="11"/>
  <c r="F36" i="11"/>
  <c r="G33" i="11"/>
  <c r="I20" i="11"/>
  <c r="F20" i="11"/>
  <c r="I12" i="11"/>
  <c r="F12" i="11"/>
  <c r="I8" i="11"/>
  <c r="I11" i="11" s="1"/>
  <c r="F9" i="11"/>
  <c r="F8" i="11"/>
  <c r="Z25" i="10"/>
  <c r="Y25" i="10"/>
  <c r="Z24" i="10"/>
  <c r="Y24" i="10"/>
  <c r="Z23" i="10"/>
  <c r="Y23" i="10"/>
  <c r="X23" i="10"/>
  <c r="U72" i="10"/>
  <c r="T72" i="10"/>
  <c r="S72" i="10"/>
  <c r="R72" i="10"/>
  <c r="M72" i="10"/>
  <c r="T71" i="10"/>
  <c r="T70" i="10"/>
  <c r="S70" i="10"/>
  <c r="U69" i="10"/>
  <c r="T69" i="10"/>
  <c r="R69" i="10"/>
  <c r="M71" i="10"/>
  <c r="M70" i="10"/>
  <c r="M69" i="10"/>
  <c r="X25" i="10"/>
  <c r="X24" i="10"/>
  <c r="Y21" i="10" l="1"/>
  <c r="X21" i="10"/>
  <c r="T28" i="10"/>
  <c r="T27" i="10"/>
  <c r="S27" i="10"/>
  <c r="U26" i="10"/>
  <c r="T26" i="10"/>
  <c r="S26" i="10"/>
  <c r="T25" i="10"/>
  <c r="U24" i="10"/>
  <c r="T24" i="10"/>
  <c r="S24" i="10"/>
  <c r="T23" i="10"/>
  <c r="S23" i="10"/>
  <c r="U22" i="10"/>
  <c r="T22" i="10"/>
  <c r="M26" i="10"/>
  <c r="M27" i="10"/>
  <c r="M25" i="10"/>
  <c r="M28" i="10"/>
  <c r="V181" i="9"/>
  <c r="V178" i="9"/>
  <c r="V176" i="9"/>
  <c r="AC175" i="9"/>
  <c r="V175" i="9"/>
  <c r="F74" i="9"/>
  <c r="A64" i="16"/>
  <c r="A65" i="16"/>
  <c r="A66" i="16"/>
  <c r="A67" i="16"/>
  <c r="A68" i="16"/>
  <c r="A69" i="16"/>
  <c r="A70" i="16"/>
  <c r="J67" i="2"/>
  <c r="J65" i="16" s="1"/>
  <c r="H67" i="2"/>
  <c r="H65" i="16" s="1"/>
  <c r="Q65" i="16" s="1"/>
  <c r="G68" i="2"/>
  <c r="G66" i="16" s="1"/>
  <c r="G69" i="2"/>
  <c r="G67" i="16" s="1"/>
  <c r="G70" i="2"/>
  <c r="G68" i="16" s="1"/>
  <c r="G71" i="2"/>
  <c r="G69" i="16" s="1"/>
  <c r="G72" i="2"/>
  <c r="G70" i="16" s="1"/>
  <c r="G67" i="2"/>
  <c r="G65" i="16" s="1"/>
  <c r="B68" i="2"/>
  <c r="B66" i="16" s="1"/>
  <c r="B69" i="2"/>
  <c r="B67" i="16" s="1"/>
  <c r="B70" i="2"/>
  <c r="B68" i="16" s="1"/>
  <c r="B71" i="2"/>
  <c r="B69" i="16" s="1"/>
  <c r="B72" i="2"/>
  <c r="B70" i="16" s="1"/>
  <c r="B67" i="2"/>
  <c r="B65" i="16" s="1"/>
  <c r="B66" i="2"/>
  <c r="B64" i="16" s="1"/>
  <c r="H25" i="13"/>
  <c r="H26" i="13" s="1"/>
  <c r="H24" i="13"/>
  <c r="J70" i="2" s="1"/>
  <c r="J68" i="16" s="1"/>
  <c r="H22" i="13"/>
  <c r="H23" i="13" s="1"/>
  <c r="G26" i="13"/>
  <c r="H72" i="2" s="1"/>
  <c r="H70" i="16" s="1"/>
  <c r="Q70" i="16" s="1"/>
  <c r="G25" i="13"/>
  <c r="I25" i="13" s="1"/>
  <c r="G24" i="13"/>
  <c r="H70" i="2" s="1"/>
  <c r="G22" i="13"/>
  <c r="I22" i="13" s="1"/>
  <c r="I21" i="13"/>
  <c r="I24" i="13" l="1"/>
  <c r="J69" i="2"/>
  <c r="J67" i="16" s="1"/>
  <c r="I26" i="13"/>
  <c r="H71" i="2"/>
  <c r="H69" i="16" s="1"/>
  <c r="Q69" i="16" s="1"/>
  <c r="G23" i="13"/>
  <c r="H69" i="2" s="1"/>
  <c r="H67" i="16" s="1"/>
  <c r="Q67" i="16" s="1"/>
  <c r="J72" i="2"/>
  <c r="J70" i="16" s="1"/>
  <c r="J68" i="2"/>
  <c r="J66" i="16" s="1"/>
  <c r="J71" i="2"/>
  <c r="J69" i="16" s="1"/>
  <c r="S69" i="16" s="1"/>
  <c r="H68" i="2"/>
  <c r="H66" i="16" s="1"/>
  <c r="Q66" i="16" s="1"/>
  <c r="N70" i="2"/>
  <c r="N69" i="2"/>
  <c r="S68" i="16"/>
  <c r="S65" i="16"/>
  <c r="S67" i="16"/>
  <c r="N72" i="2"/>
  <c r="N67" i="2"/>
  <c r="H68" i="16"/>
  <c r="Q68" i="16" s="1"/>
  <c r="S70" i="16"/>
  <c r="N71" i="2" l="1"/>
  <c r="S66" i="16"/>
  <c r="N68" i="2"/>
  <c r="I23" i="13"/>
  <c r="R54" i="17" l="1"/>
  <c r="Q54" i="17"/>
  <c r="P54" i="17"/>
  <c r="O54" i="17"/>
  <c r="A57" i="16"/>
  <c r="A58" i="16"/>
  <c r="A59" i="16"/>
  <c r="A60" i="16"/>
  <c r="A61" i="16"/>
  <c r="A62" i="16"/>
  <c r="A63" i="16"/>
  <c r="A55" i="16"/>
  <c r="A56" i="16"/>
  <c r="G60" i="16"/>
  <c r="G61" i="16"/>
  <c r="B60" i="16"/>
  <c r="B61" i="16"/>
  <c r="H74" i="16"/>
  <c r="K75" i="16"/>
  <c r="N75" i="16" s="1"/>
  <c r="K76" i="16"/>
  <c r="N76" i="16" s="1"/>
  <c r="L75" i="2"/>
  <c r="L74" i="16" s="1"/>
  <c r="M75" i="2"/>
  <c r="M74" i="16" s="1"/>
  <c r="K75" i="2"/>
  <c r="K74" i="16" s="1"/>
  <c r="J7" i="15"/>
  <c r="N75" i="2" l="1"/>
  <c r="N74" i="16"/>
  <c r="O27" i="1" l="1"/>
  <c r="Q27" i="1"/>
  <c r="L16" i="1"/>
  <c r="F38" i="4" l="1"/>
  <c r="I38" i="4" s="1"/>
  <c r="G52" i="16"/>
  <c r="B50" i="2"/>
  <c r="B52" i="16" s="1"/>
  <c r="G38" i="11"/>
  <c r="F33" i="11"/>
  <c r="H33" i="11"/>
  <c r="I33" i="11"/>
  <c r="D33" i="11"/>
  <c r="U28" i="9" l="1"/>
  <c r="U175" i="9" s="1"/>
  <c r="T28" i="9"/>
  <c r="V27" i="9"/>
  <c r="V174" i="9" s="1"/>
  <c r="T27" i="9"/>
  <c r="Q27" i="9"/>
  <c r="Q174" i="9" s="1"/>
  <c r="Q26" i="9"/>
  <c r="Q173" i="9" s="1"/>
  <c r="F29" i="9"/>
  <c r="F176" i="9" s="1"/>
  <c r="AA16" i="9"/>
  <c r="AA29" i="9" s="1"/>
  <c r="AA176" i="9" s="1"/>
  <c r="AA22" i="9"/>
  <c r="AA27" i="9" s="1"/>
  <c r="AA174" i="9" s="1"/>
  <c r="D72" i="10" l="1"/>
  <c r="U68" i="10"/>
  <c r="S68" i="10"/>
  <c r="R68" i="10"/>
  <c r="M68" i="10"/>
  <c r="AB141" i="9"/>
  <c r="AB180" i="9" s="1"/>
  <c r="AB139" i="9"/>
  <c r="AB181" i="9" s="1"/>
  <c r="AB138" i="9"/>
  <c r="AB177" i="9" s="1"/>
  <c r="F138" i="9"/>
  <c r="F141" i="9"/>
  <c r="F180" i="9" s="1"/>
  <c r="F140" i="9"/>
  <c r="F179" i="9" s="1"/>
  <c r="F75" i="9"/>
  <c r="F28" i="9"/>
  <c r="F27" i="9"/>
  <c r="F174" i="9" s="1"/>
  <c r="F169" i="9"/>
  <c r="F170" i="9"/>
  <c r="U164" i="9"/>
  <c r="U165" i="9"/>
  <c r="X165" i="9" s="1"/>
  <c r="T163" i="9"/>
  <c r="X163" i="9" s="1"/>
  <c r="F166" i="9"/>
  <c r="U170" i="9" l="1"/>
  <c r="F175" i="9"/>
  <c r="X164" i="9"/>
  <c r="X170" i="9" s="1"/>
  <c r="T170" i="9"/>
  <c r="T182" i="9" s="1"/>
  <c r="T68" i="10" l="1"/>
  <c r="I27" i="3"/>
  <c r="I28" i="3"/>
  <c r="H29" i="3"/>
  <c r="G76" i="16"/>
  <c r="G75" i="16"/>
  <c r="N77" i="2"/>
  <c r="B76" i="16"/>
  <c r="A76" i="16"/>
  <c r="T76" i="16" l="1"/>
  <c r="W76" i="16" s="1"/>
  <c r="B43" i="2"/>
  <c r="Z8" i="10"/>
  <c r="Z9" i="10"/>
  <c r="H36" i="11" s="1"/>
  <c r="Z10" i="10"/>
  <c r="Z11" i="10"/>
  <c r="Z12" i="10"/>
  <c r="Z13" i="10"/>
  <c r="Z14" i="10"/>
  <c r="Z15" i="10"/>
  <c r="Z16" i="10"/>
  <c r="Z17" i="10"/>
  <c r="Z18" i="10"/>
  <c r="Z19" i="10"/>
  <c r="Z20" i="10"/>
  <c r="Z21" i="10" l="1"/>
  <c r="J43" i="2"/>
  <c r="K43" i="2"/>
  <c r="D36" i="11"/>
  <c r="H43" i="2" s="1"/>
  <c r="E11" i="12"/>
  <c r="E10" i="12"/>
  <c r="J10" i="12" s="1"/>
  <c r="E9" i="12"/>
  <c r="G9" i="12" s="1"/>
  <c r="H8" i="3" l="1"/>
  <c r="I10" i="12"/>
  <c r="J9" i="12"/>
  <c r="G10" i="12"/>
  <c r="I9" i="12"/>
  <c r="G15" i="17"/>
  <c r="G16" i="17"/>
  <c r="G17" i="17"/>
  <c r="G18" i="17"/>
  <c r="G14" i="17"/>
  <c r="H17" i="17"/>
  <c r="B17" i="17"/>
  <c r="A20" i="17"/>
  <c r="A18" i="17"/>
  <c r="A10" i="17"/>
  <c r="A11" i="17"/>
  <c r="A13" i="17"/>
  <c r="A14" i="17"/>
  <c r="A15" i="17"/>
  <c r="A16" i="17"/>
  <c r="A17" i="17"/>
  <c r="A21" i="17"/>
  <c r="A22" i="17"/>
  <c r="A23" i="17"/>
  <c r="A24" i="17"/>
  <c r="A25" i="17"/>
  <c r="A26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3" i="17"/>
  <c r="A54" i="17"/>
  <c r="A9" i="17"/>
  <c r="L16" i="3"/>
  <c r="K5" i="17"/>
  <c r="R5" i="17" s="1"/>
  <c r="J5" i="17"/>
  <c r="Q5" i="17" s="1"/>
  <c r="H5" i="17"/>
  <c r="O5" i="17" s="1"/>
  <c r="B15" i="17"/>
  <c r="B16" i="17"/>
  <c r="B18" i="17"/>
  <c r="B14" i="17"/>
  <c r="O17" i="17" l="1"/>
  <c r="S17" i="17" s="1"/>
  <c r="L17" i="17"/>
  <c r="O22" i="16"/>
  <c r="U24" i="1"/>
  <c r="R24" i="1"/>
  <c r="O24" i="1"/>
  <c r="Y29" i="10"/>
  <c r="T12" i="13"/>
  <c r="W12" i="13" s="1"/>
  <c r="T10" i="13"/>
  <c r="W10" i="13" s="1"/>
  <c r="G49" i="16"/>
  <c r="G50" i="16"/>
  <c r="B49" i="16"/>
  <c r="B50" i="16"/>
  <c r="F154" i="9"/>
  <c r="L21" i="2" s="1"/>
  <c r="L22" i="16" s="1"/>
  <c r="U150" i="9"/>
  <c r="X150" i="9" s="1"/>
  <c r="R150" i="9"/>
  <c r="P150" i="9"/>
  <c r="J150" i="9"/>
  <c r="K150" i="9" s="1"/>
  <c r="M150" i="9" s="1"/>
  <c r="E40" i="12"/>
  <c r="I40" i="12" s="1"/>
  <c r="E23" i="12"/>
  <c r="I8" i="3" s="1"/>
  <c r="I8" i="17" s="1"/>
  <c r="I11" i="12"/>
  <c r="E35" i="12"/>
  <c r="G35" i="12" s="1"/>
  <c r="E34" i="12"/>
  <c r="E33" i="12"/>
  <c r="G33" i="12" s="1"/>
  <c r="I45" i="3"/>
  <c r="I48" i="17" s="1"/>
  <c r="P48" i="17" s="1"/>
  <c r="K45" i="3"/>
  <c r="H45" i="3"/>
  <c r="H48" i="17" s="1"/>
  <c r="O48" i="17" s="1"/>
  <c r="K44" i="3"/>
  <c r="K47" i="17" s="1"/>
  <c r="R47" i="17" s="1"/>
  <c r="I44" i="3"/>
  <c r="I47" i="17" s="1"/>
  <c r="P47" i="17" s="1"/>
  <c r="H44" i="3"/>
  <c r="I43" i="3"/>
  <c r="K43" i="3"/>
  <c r="K46" i="17" s="1"/>
  <c r="R46" i="17" s="1"/>
  <c r="H43" i="3"/>
  <c r="H46" i="17" s="1"/>
  <c r="O46" i="17" s="1"/>
  <c r="I35" i="3"/>
  <c r="I38" i="17" s="1"/>
  <c r="P38" i="17" s="1"/>
  <c r="J35" i="3"/>
  <c r="K35" i="3"/>
  <c r="H35" i="3"/>
  <c r="H38" i="17" s="1"/>
  <c r="O38" i="17" s="1"/>
  <c r="I34" i="3"/>
  <c r="J34" i="3"/>
  <c r="K34" i="3"/>
  <c r="K37" i="17" s="1"/>
  <c r="R37" i="17" s="1"/>
  <c r="H34" i="3"/>
  <c r="H37" i="17" s="1"/>
  <c r="O37" i="17" s="1"/>
  <c r="I29" i="3"/>
  <c r="I32" i="17" s="1"/>
  <c r="P32" i="17" s="1"/>
  <c r="H32" i="17"/>
  <c r="O32" i="17" s="1"/>
  <c r="S32" i="17" s="1"/>
  <c r="K28" i="3"/>
  <c r="J28" i="3"/>
  <c r="J31" i="17" s="1"/>
  <c r="Q31" i="17" s="1"/>
  <c r="H28" i="3"/>
  <c r="K27" i="3"/>
  <c r="J27" i="3"/>
  <c r="H27" i="3"/>
  <c r="H30" i="17" s="1"/>
  <c r="O30" i="17" s="1"/>
  <c r="AC37" i="9"/>
  <c r="E41" i="11" s="1"/>
  <c r="AC36" i="9"/>
  <c r="I28" i="2" s="1"/>
  <c r="I29" i="16" s="1"/>
  <c r="F37" i="9"/>
  <c r="I74" i="2" s="1"/>
  <c r="I73" i="16" s="1"/>
  <c r="R73" i="16" s="1"/>
  <c r="F36" i="9"/>
  <c r="V34" i="9"/>
  <c r="T34" i="9"/>
  <c r="T36" i="9" s="1"/>
  <c r="I10" i="2" s="1"/>
  <c r="I10" i="16" s="1"/>
  <c r="R10" i="16" s="1"/>
  <c r="V11" i="9"/>
  <c r="V26" i="9" s="1"/>
  <c r="T11" i="9"/>
  <c r="T26" i="9" s="1"/>
  <c r="K34" i="9"/>
  <c r="M34" i="9" s="1"/>
  <c r="N16" i="1"/>
  <c r="G32" i="17"/>
  <c r="B32" i="17"/>
  <c r="I15" i="3"/>
  <c r="I16" i="17" s="1"/>
  <c r="P16" i="17" s="1"/>
  <c r="H15" i="3"/>
  <c r="H16" i="17" s="1"/>
  <c r="J58" i="16"/>
  <c r="J9" i="15"/>
  <c r="J8" i="15"/>
  <c r="J10" i="15"/>
  <c r="J11" i="15"/>
  <c r="H60" i="2"/>
  <c r="S135" i="9"/>
  <c r="X135" i="9" s="1"/>
  <c r="S132" i="9"/>
  <c r="U12" i="9"/>
  <c r="U27" i="9" s="1"/>
  <c r="U174" i="9" s="1"/>
  <c r="J49" i="2"/>
  <c r="J51" i="16" s="1"/>
  <c r="S51" i="16" s="1"/>
  <c r="D12" i="11"/>
  <c r="X10" i="1"/>
  <c r="AA25" i="9"/>
  <c r="X26" i="1"/>
  <c r="M23" i="10"/>
  <c r="M22" i="10"/>
  <c r="V43" i="9"/>
  <c r="T43" i="9"/>
  <c r="K43" i="9"/>
  <c r="AA43" i="9"/>
  <c r="T75" i="16"/>
  <c r="W75" i="16" s="1"/>
  <c r="B75" i="16"/>
  <c r="A75" i="16"/>
  <c r="N76" i="2"/>
  <c r="H18" i="17"/>
  <c r="L18" i="17" s="1"/>
  <c r="L17" i="3"/>
  <c r="K136" i="9"/>
  <c r="M136" i="9" s="1"/>
  <c r="P136" i="9" s="1"/>
  <c r="V136" i="9"/>
  <c r="X136" i="9" s="1"/>
  <c r="K135" i="9"/>
  <c r="M135" i="9" s="1"/>
  <c r="P135" i="9" s="1"/>
  <c r="M134" i="9"/>
  <c r="P134" i="9" s="1"/>
  <c r="K133" i="9"/>
  <c r="M133" i="9" s="1"/>
  <c r="P133" i="9" s="1"/>
  <c r="K132" i="9"/>
  <c r="M132" i="9" s="1"/>
  <c r="P132" i="9" s="1"/>
  <c r="K131" i="9"/>
  <c r="X134" i="9"/>
  <c r="V133" i="9"/>
  <c r="U131" i="9"/>
  <c r="U142" i="9" s="1"/>
  <c r="U182" i="9" s="1"/>
  <c r="F142" i="9"/>
  <c r="F182" i="9" s="1"/>
  <c r="F137" i="9"/>
  <c r="F139" i="9"/>
  <c r="T162" i="9"/>
  <c r="U161" i="9"/>
  <c r="T148" i="9"/>
  <c r="T154" i="9" s="1"/>
  <c r="U149" i="9"/>
  <c r="X149" i="9" s="1"/>
  <c r="U151" i="9"/>
  <c r="X151" i="9" s="1"/>
  <c r="U147" i="9"/>
  <c r="U121" i="9"/>
  <c r="X121" i="9" s="1"/>
  <c r="U122" i="9"/>
  <c r="X122" i="9" s="1"/>
  <c r="U123" i="9"/>
  <c r="X123" i="9" s="1"/>
  <c r="U124" i="9"/>
  <c r="X124" i="9" s="1"/>
  <c r="U126" i="9"/>
  <c r="X126" i="9" s="1"/>
  <c r="U127" i="9"/>
  <c r="X127" i="9" s="1"/>
  <c r="U128" i="9"/>
  <c r="X128" i="9" s="1"/>
  <c r="U129" i="9"/>
  <c r="X129" i="9" s="1"/>
  <c r="U120" i="9"/>
  <c r="X120" i="9" s="1"/>
  <c r="U111" i="9"/>
  <c r="U112" i="9"/>
  <c r="X112" i="9" s="1"/>
  <c r="U113" i="9"/>
  <c r="X113" i="9" s="1"/>
  <c r="U114" i="9"/>
  <c r="X114" i="9" s="1"/>
  <c r="U115" i="9"/>
  <c r="U116" i="9"/>
  <c r="X116" i="9" s="1"/>
  <c r="U117" i="9"/>
  <c r="X117" i="9" s="1"/>
  <c r="U110" i="9"/>
  <c r="K45" i="17"/>
  <c r="J36" i="17"/>
  <c r="I29" i="17"/>
  <c r="I36" i="17"/>
  <c r="I45" i="17"/>
  <c r="H36" i="17"/>
  <c r="H45" i="17"/>
  <c r="J29" i="17"/>
  <c r="K29" i="17"/>
  <c r="H29" i="17"/>
  <c r="G45" i="17"/>
  <c r="G46" i="17"/>
  <c r="G47" i="17"/>
  <c r="G48" i="17"/>
  <c r="G49" i="17"/>
  <c r="G50" i="17"/>
  <c r="G51" i="17"/>
  <c r="G36" i="17"/>
  <c r="G37" i="17"/>
  <c r="G38" i="17"/>
  <c r="G39" i="17"/>
  <c r="G40" i="17"/>
  <c r="G41" i="17"/>
  <c r="G42" i="17"/>
  <c r="G43" i="17"/>
  <c r="G44" i="17"/>
  <c r="G30" i="17"/>
  <c r="G31" i="17"/>
  <c r="G33" i="17"/>
  <c r="G34" i="17"/>
  <c r="G35" i="17"/>
  <c r="G29" i="17"/>
  <c r="B47" i="17"/>
  <c r="B48" i="17"/>
  <c r="B49" i="17"/>
  <c r="B50" i="17"/>
  <c r="B51" i="17"/>
  <c r="B46" i="17"/>
  <c r="B45" i="17"/>
  <c r="B39" i="17"/>
  <c r="B40" i="17"/>
  <c r="B41" i="17"/>
  <c r="B42" i="17"/>
  <c r="B43" i="17"/>
  <c r="B44" i="17"/>
  <c r="B38" i="17"/>
  <c r="B37" i="17"/>
  <c r="B35" i="17"/>
  <c r="B34" i="17"/>
  <c r="B33" i="17"/>
  <c r="B31" i="17"/>
  <c r="B30" i="17"/>
  <c r="G22" i="17"/>
  <c r="G23" i="17"/>
  <c r="G24" i="17"/>
  <c r="G25" i="17"/>
  <c r="G26" i="17"/>
  <c r="G21" i="17"/>
  <c r="B22" i="17"/>
  <c r="B21" i="17"/>
  <c r="O58" i="16"/>
  <c r="Q74" i="16"/>
  <c r="W74" i="16" s="1"/>
  <c r="A23" i="16"/>
  <c r="A24" i="16"/>
  <c r="A25" i="16"/>
  <c r="A26" i="16"/>
  <c r="A27" i="16"/>
  <c r="A28" i="16"/>
  <c r="A29" i="16"/>
  <c r="J55" i="16"/>
  <c r="S55" i="16" s="1"/>
  <c r="H55" i="16"/>
  <c r="Q55" i="16" s="1"/>
  <c r="G56" i="16"/>
  <c r="G57" i="16"/>
  <c r="G58" i="16"/>
  <c r="G59" i="16"/>
  <c r="G55" i="16"/>
  <c r="B56" i="16"/>
  <c r="B57" i="16"/>
  <c r="B58" i="16"/>
  <c r="B59" i="16"/>
  <c r="B55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51" i="16"/>
  <c r="G32" i="16"/>
  <c r="A33" i="16"/>
  <c r="A34" i="16"/>
  <c r="A35" i="16"/>
  <c r="B46" i="16"/>
  <c r="B47" i="16"/>
  <c r="B48" i="16"/>
  <c r="B51" i="16"/>
  <c r="B37" i="16"/>
  <c r="B38" i="16"/>
  <c r="B39" i="16"/>
  <c r="B40" i="16"/>
  <c r="B41" i="16"/>
  <c r="B42" i="16"/>
  <c r="B43" i="16"/>
  <c r="B44" i="16"/>
  <c r="B45" i="16"/>
  <c r="B35" i="16"/>
  <c r="B36" i="16"/>
  <c r="B33" i="16"/>
  <c r="B34" i="16"/>
  <c r="B32" i="16"/>
  <c r="G23" i="16"/>
  <c r="G24" i="16"/>
  <c r="G25" i="16"/>
  <c r="G26" i="16"/>
  <c r="G27" i="16"/>
  <c r="G28" i="16"/>
  <c r="G29" i="16"/>
  <c r="G22" i="16"/>
  <c r="B28" i="16"/>
  <c r="B25" i="16"/>
  <c r="B24" i="16"/>
  <c r="B23" i="16"/>
  <c r="B22" i="16"/>
  <c r="A22" i="16"/>
  <c r="B74" i="16"/>
  <c r="A73" i="16"/>
  <c r="A74" i="16"/>
  <c r="A72" i="16"/>
  <c r="A54" i="16"/>
  <c r="A32" i="16"/>
  <c r="A31" i="16"/>
  <c r="A21" i="16"/>
  <c r="A10" i="16"/>
  <c r="A11" i="16"/>
  <c r="A12" i="16"/>
  <c r="A13" i="16"/>
  <c r="A14" i="16"/>
  <c r="A15" i="16"/>
  <c r="A16" i="16"/>
  <c r="A17" i="16"/>
  <c r="A18" i="16"/>
  <c r="A19" i="16"/>
  <c r="A7" i="16"/>
  <c r="AB137" i="9"/>
  <c r="AB71" i="9"/>
  <c r="F14" i="8"/>
  <c r="F12" i="8"/>
  <c r="E12" i="8"/>
  <c r="F8" i="8"/>
  <c r="E8" i="8"/>
  <c r="D14" i="8"/>
  <c r="C14" i="8"/>
  <c r="D12" i="8"/>
  <c r="C12" i="8"/>
  <c r="D8" i="8"/>
  <c r="C8" i="8"/>
  <c r="G8" i="5"/>
  <c r="G6" i="5"/>
  <c r="B74" i="2"/>
  <c r="B73" i="16" s="1"/>
  <c r="J63" i="2"/>
  <c r="J61" i="16" s="1"/>
  <c r="S61" i="16" s="1"/>
  <c r="H63" i="2"/>
  <c r="J62" i="2"/>
  <c r="J60" i="16" s="1"/>
  <c r="S60" i="16" s="1"/>
  <c r="H62" i="2"/>
  <c r="H60" i="16" s="1"/>
  <c r="J61" i="2"/>
  <c r="J59" i="16" s="1"/>
  <c r="S59" i="16" s="1"/>
  <c r="H61" i="2"/>
  <c r="H59" i="16" s="1"/>
  <c r="Q59" i="16" s="1"/>
  <c r="N13" i="13"/>
  <c r="K41" i="2"/>
  <c r="K43" i="16" s="1"/>
  <c r="K40" i="2"/>
  <c r="N40" i="2" s="1"/>
  <c r="K39" i="2"/>
  <c r="K41" i="16" s="1"/>
  <c r="T41" i="16" s="1"/>
  <c r="L39" i="2"/>
  <c r="M39" i="2"/>
  <c r="M41" i="16" s="1"/>
  <c r="V41" i="16" s="1"/>
  <c r="J38" i="2"/>
  <c r="N38" i="2" s="1"/>
  <c r="K37" i="2"/>
  <c r="K39" i="16" s="1"/>
  <c r="T39" i="16" s="1"/>
  <c r="L37" i="2"/>
  <c r="L39" i="16" s="1"/>
  <c r="U39" i="16" s="1"/>
  <c r="M37" i="2"/>
  <c r="M39" i="16" s="1"/>
  <c r="V39" i="16" s="1"/>
  <c r="J35" i="2"/>
  <c r="J37" i="16" s="1"/>
  <c r="S37" i="16" s="1"/>
  <c r="H36" i="2"/>
  <c r="H38" i="16" s="1"/>
  <c r="Q38" i="16" s="1"/>
  <c r="H37" i="2"/>
  <c r="H39" i="16" s="1"/>
  <c r="Q39" i="16" s="1"/>
  <c r="H35" i="2"/>
  <c r="H37" i="16" s="1"/>
  <c r="I23" i="4"/>
  <c r="I24" i="4"/>
  <c r="B9" i="4"/>
  <c r="B10" i="4"/>
  <c r="B11" i="4"/>
  <c r="B8" i="4"/>
  <c r="X13" i="9"/>
  <c r="X14" i="9"/>
  <c r="X15" i="9"/>
  <c r="X17" i="9"/>
  <c r="X18" i="9"/>
  <c r="X19" i="9"/>
  <c r="X20" i="9"/>
  <c r="X21" i="9"/>
  <c r="X28" i="9" s="1"/>
  <c r="X22" i="9"/>
  <c r="X23" i="9"/>
  <c r="X46" i="9"/>
  <c r="X47" i="9"/>
  <c r="X57" i="9"/>
  <c r="X58" i="9"/>
  <c r="X60" i="9"/>
  <c r="X65" i="9"/>
  <c r="X66" i="9"/>
  <c r="X69" i="9"/>
  <c r="T160" i="9"/>
  <c r="T168" i="9" s="1"/>
  <c r="T178" i="9" s="1"/>
  <c r="T159" i="9"/>
  <c r="X159" i="9" s="1"/>
  <c r="T130" i="9"/>
  <c r="T125" i="9"/>
  <c r="X125" i="9" s="1"/>
  <c r="T119" i="9"/>
  <c r="X119" i="9" s="1"/>
  <c r="T118" i="9"/>
  <c r="F12" i="13"/>
  <c r="G12" i="13" s="1"/>
  <c r="G10" i="13"/>
  <c r="P10" i="13"/>
  <c r="H59" i="2" s="1"/>
  <c r="H57" i="16" s="1"/>
  <c r="Q57" i="16" s="1"/>
  <c r="C52" i="11"/>
  <c r="N52" i="11" s="1"/>
  <c r="C51" i="11"/>
  <c r="P51" i="11" s="1"/>
  <c r="C50" i="11"/>
  <c r="P50" i="11" s="1"/>
  <c r="C49" i="11"/>
  <c r="J49" i="11" s="1"/>
  <c r="C48" i="11"/>
  <c r="N48" i="11" s="1"/>
  <c r="K42" i="2"/>
  <c r="K44" i="16" s="1"/>
  <c r="T44" i="16" s="1"/>
  <c r="D38" i="11"/>
  <c r="H42" i="2" s="1"/>
  <c r="M42" i="2"/>
  <c r="M44" i="16" s="1"/>
  <c r="V44" i="16" s="1"/>
  <c r="H38" i="11"/>
  <c r="L42" i="2" s="1"/>
  <c r="L44" i="16" s="1"/>
  <c r="U44" i="16" s="1"/>
  <c r="J42" i="2"/>
  <c r="J44" i="16" s="1"/>
  <c r="S44" i="16" s="1"/>
  <c r="H37" i="11"/>
  <c r="L44" i="2" s="1"/>
  <c r="L46" i="16" s="1"/>
  <c r="U46" i="16" s="1"/>
  <c r="K44" i="2"/>
  <c r="K46" i="16" s="1"/>
  <c r="T46" i="16" s="1"/>
  <c r="M43" i="2"/>
  <c r="M45" i="16" s="1"/>
  <c r="V45" i="16" s="1"/>
  <c r="L43" i="2"/>
  <c r="L45" i="16" s="1"/>
  <c r="K45" i="16"/>
  <c r="T45" i="16" s="1"/>
  <c r="J45" i="16"/>
  <c r="S45" i="16" s="1"/>
  <c r="M45" i="2"/>
  <c r="H35" i="11"/>
  <c r="L45" i="2" s="1"/>
  <c r="L47" i="16" s="1"/>
  <c r="U47" i="16" s="1"/>
  <c r="K45" i="2"/>
  <c r="K47" i="16" s="1"/>
  <c r="T47" i="16" s="1"/>
  <c r="J27" i="11"/>
  <c r="J28" i="11"/>
  <c r="J29" i="11"/>
  <c r="J30" i="11"/>
  <c r="J31" i="11"/>
  <c r="J32" i="11"/>
  <c r="J26" i="11"/>
  <c r="J16" i="11"/>
  <c r="J15" i="11"/>
  <c r="F18" i="11"/>
  <c r="J30" i="2" s="1"/>
  <c r="J32" i="16" s="1"/>
  <c r="S32" i="16" s="1"/>
  <c r="G18" i="11"/>
  <c r="K30" i="2" s="1"/>
  <c r="K32" i="16" s="1"/>
  <c r="T32" i="16" s="1"/>
  <c r="H18" i="11"/>
  <c r="L30" i="2" s="1"/>
  <c r="L32" i="16" s="1"/>
  <c r="U32" i="16" s="1"/>
  <c r="I18" i="11"/>
  <c r="M30" i="2" s="1"/>
  <c r="M32" i="16" s="1"/>
  <c r="V32" i="16" s="1"/>
  <c r="D18" i="11"/>
  <c r="H30" i="2" s="1"/>
  <c r="H32" i="16" s="1"/>
  <c r="Q32" i="16" s="1"/>
  <c r="I13" i="11"/>
  <c r="H12" i="11"/>
  <c r="L49" i="2" s="1"/>
  <c r="L51" i="16" s="1"/>
  <c r="U51" i="16" s="1"/>
  <c r="G12" i="11"/>
  <c r="K49" i="2" s="1"/>
  <c r="K51" i="16" s="1"/>
  <c r="T51" i="16" s="1"/>
  <c r="H8" i="11"/>
  <c r="H11" i="11" s="1"/>
  <c r="G10" i="11"/>
  <c r="J10" i="11" s="1"/>
  <c r="G9" i="11"/>
  <c r="G8" i="11"/>
  <c r="K46" i="2" s="1"/>
  <c r="K48" i="16" s="1"/>
  <c r="T48" i="16" s="1"/>
  <c r="J47" i="2"/>
  <c r="D8" i="11"/>
  <c r="R29" i="10"/>
  <c r="M24" i="10"/>
  <c r="D29" i="10"/>
  <c r="P38" i="10"/>
  <c r="P39" i="10"/>
  <c r="P40" i="10"/>
  <c r="P44" i="10"/>
  <c r="P46" i="10"/>
  <c r="P48" i="10"/>
  <c r="P52" i="10"/>
  <c r="P55" i="10"/>
  <c r="P56" i="10"/>
  <c r="P57" i="10"/>
  <c r="P58" i="10"/>
  <c r="P59" i="10"/>
  <c r="P60" i="10"/>
  <c r="P61" i="10"/>
  <c r="P62" i="10"/>
  <c r="P63" i="10"/>
  <c r="P66" i="10"/>
  <c r="P67" i="10"/>
  <c r="U21" i="10"/>
  <c r="T21" i="10"/>
  <c r="S21" i="10"/>
  <c r="P9" i="10"/>
  <c r="P10" i="10"/>
  <c r="P23" i="10" s="1"/>
  <c r="P11" i="10"/>
  <c r="P12" i="10"/>
  <c r="P13" i="10"/>
  <c r="P14" i="10"/>
  <c r="P15" i="10"/>
  <c r="P16" i="10"/>
  <c r="P17" i="10"/>
  <c r="P18" i="10"/>
  <c r="P19" i="10"/>
  <c r="P24" i="10" s="1"/>
  <c r="P20" i="10"/>
  <c r="L54" i="17"/>
  <c r="S54" i="17"/>
  <c r="S55" i="17" s="1"/>
  <c r="B10" i="16"/>
  <c r="B11" i="16"/>
  <c r="B12" i="16"/>
  <c r="B13" i="16"/>
  <c r="B14" i="16"/>
  <c r="B15" i="16"/>
  <c r="B16" i="16"/>
  <c r="B17" i="16"/>
  <c r="B18" i="16"/>
  <c r="B19" i="16"/>
  <c r="B26" i="16"/>
  <c r="O27" i="16"/>
  <c r="P27" i="16"/>
  <c r="B27" i="16"/>
  <c r="B29" i="16"/>
  <c r="D11" i="14"/>
  <c r="D12" i="14" s="1"/>
  <c r="D13" i="14" s="1"/>
  <c r="G11" i="14"/>
  <c r="N11" i="14"/>
  <c r="Q11" i="14" s="1"/>
  <c r="G12" i="14"/>
  <c r="M12" i="14"/>
  <c r="N12" i="14" s="1"/>
  <c r="G13" i="14"/>
  <c r="M13" i="14"/>
  <c r="P13" i="14"/>
  <c r="P16" i="14"/>
  <c r="P17" i="14" s="1"/>
  <c r="J11" i="12"/>
  <c r="G12" i="12"/>
  <c r="I12" i="12"/>
  <c r="J12" i="12"/>
  <c r="G13" i="12"/>
  <c r="I13" i="12"/>
  <c r="J13" i="12"/>
  <c r="G14" i="12"/>
  <c r="I14" i="12"/>
  <c r="K14" i="12"/>
  <c r="K19" i="12" s="1"/>
  <c r="G15" i="12"/>
  <c r="I15" i="12"/>
  <c r="J15" i="12"/>
  <c r="G16" i="12"/>
  <c r="I16" i="12"/>
  <c r="J16" i="12"/>
  <c r="G17" i="12"/>
  <c r="I17" i="12"/>
  <c r="J17" i="12"/>
  <c r="G23" i="12"/>
  <c r="I23" i="12"/>
  <c r="G24" i="12"/>
  <c r="I24" i="12"/>
  <c r="J24" i="12"/>
  <c r="G25" i="12"/>
  <c r="I25" i="12"/>
  <c r="J25" i="12"/>
  <c r="G26" i="12"/>
  <c r="I26" i="12"/>
  <c r="K26" i="12"/>
  <c r="G27" i="12"/>
  <c r="I27" i="12"/>
  <c r="K27" i="12"/>
  <c r="I33" i="12"/>
  <c r="I34" i="12"/>
  <c r="G40" i="12"/>
  <c r="G43" i="12" s="1"/>
  <c r="K24" i="3" s="1"/>
  <c r="J40" i="12"/>
  <c r="G41" i="12"/>
  <c r="I41" i="12"/>
  <c r="J41" i="12"/>
  <c r="G8" i="10"/>
  <c r="L8" i="10"/>
  <c r="G9" i="10"/>
  <c r="L9" i="10"/>
  <c r="G10" i="10"/>
  <c r="L10" i="10"/>
  <c r="G11" i="10"/>
  <c r="L11" i="10"/>
  <c r="G12" i="10"/>
  <c r="L12" i="10"/>
  <c r="G13" i="10"/>
  <c r="L13" i="10"/>
  <c r="G14" i="10"/>
  <c r="L14" i="10"/>
  <c r="G15" i="10"/>
  <c r="L15" i="10"/>
  <c r="G16" i="10"/>
  <c r="L16" i="10"/>
  <c r="G17" i="10"/>
  <c r="L17" i="10"/>
  <c r="G18" i="10"/>
  <c r="L18" i="10"/>
  <c r="G19" i="10"/>
  <c r="L19" i="10"/>
  <c r="G20" i="10"/>
  <c r="L20" i="10"/>
  <c r="G37" i="10"/>
  <c r="L37" i="10"/>
  <c r="G38" i="10"/>
  <c r="L38" i="10"/>
  <c r="G39" i="10"/>
  <c r="L39" i="10"/>
  <c r="G40" i="10"/>
  <c r="L40" i="10"/>
  <c r="G41" i="10"/>
  <c r="L41" i="10"/>
  <c r="G42" i="10"/>
  <c r="L42" i="10"/>
  <c r="G43" i="10"/>
  <c r="L43" i="10"/>
  <c r="G44" i="10"/>
  <c r="L44" i="10"/>
  <c r="G45" i="10"/>
  <c r="L45" i="10"/>
  <c r="G46" i="10"/>
  <c r="L46" i="10"/>
  <c r="G47" i="10"/>
  <c r="L47" i="10"/>
  <c r="G48" i="10"/>
  <c r="L48" i="10"/>
  <c r="G49" i="10"/>
  <c r="L49" i="10"/>
  <c r="G50" i="10"/>
  <c r="L50" i="10"/>
  <c r="G51" i="10"/>
  <c r="L51" i="10"/>
  <c r="G52" i="10"/>
  <c r="L52" i="10"/>
  <c r="G53" i="10"/>
  <c r="L53" i="10"/>
  <c r="G54" i="10"/>
  <c r="L54" i="10"/>
  <c r="G55" i="10"/>
  <c r="L55" i="10"/>
  <c r="G56" i="10"/>
  <c r="L56" i="10"/>
  <c r="G57" i="10"/>
  <c r="L57" i="10"/>
  <c r="G58" i="10"/>
  <c r="L58" i="10"/>
  <c r="G59" i="10"/>
  <c r="L59" i="10"/>
  <c r="G60" i="10"/>
  <c r="L60" i="10"/>
  <c r="G61" i="10"/>
  <c r="L61" i="10"/>
  <c r="G62" i="10"/>
  <c r="L62" i="10"/>
  <c r="G63" i="10"/>
  <c r="L63" i="10"/>
  <c r="G64" i="10"/>
  <c r="L64" i="10"/>
  <c r="G65" i="10"/>
  <c r="L65" i="10"/>
  <c r="G66" i="10"/>
  <c r="L66" i="10"/>
  <c r="G67" i="10"/>
  <c r="L67" i="10"/>
  <c r="K11" i="9"/>
  <c r="K26" i="9" s="1"/>
  <c r="K12" i="9"/>
  <c r="K13" i="9"/>
  <c r="M13" i="9" s="1"/>
  <c r="P13" i="9" s="1"/>
  <c r="K14" i="9"/>
  <c r="M14" i="9" s="1"/>
  <c r="P14" i="9" s="1"/>
  <c r="K15" i="9"/>
  <c r="M15" i="9" s="1"/>
  <c r="P15" i="9" s="1"/>
  <c r="AC15" i="9"/>
  <c r="AC27" i="9" s="1"/>
  <c r="AC174" i="9" s="1"/>
  <c r="K17" i="9"/>
  <c r="M17" i="9" s="1"/>
  <c r="P17" i="9" s="1"/>
  <c r="K18" i="9"/>
  <c r="M18" i="9" s="1"/>
  <c r="P18" i="9" s="1"/>
  <c r="K19" i="9"/>
  <c r="M19" i="9" s="1"/>
  <c r="P19" i="9" s="1"/>
  <c r="K20" i="9"/>
  <c r="M20" i="9" s="1"/>
  <c r="P20" i="9" s="1"/>
  <c r="K21" i="9"/>
  <c r="K28" i="9" s="1"/>
  <c r="K22" i="9"/>
  <c r="M22" i="9" s="1"/>
  <c r="P22" i="9" s="1"/>
  <c r="K23" i="9"/>
  <c r="M23" i="9" s="1"/>
  <c r="P23" i="9" s="1"/>
  <c r="F25" i="9"/>
  <c r="Q25" i="9"/>
  <c r="Q172" i="9" s="1"/>
  <c r="AB25" i="9"/>
  <c r="H17" i="2" s="1"/>
  <c r="H17" i="16" s="1"/>
  <c r="Q17" i="16" s="1"/>
  <c r="F26" i="9"/>
  <c r="AB26" i="9"/>
  <c r="AB173" i="9" s="1"/>
  <c r="AC26" i="9"/>
  <c r="AC173" i="9" s="1"/>
  <c r="H14" i="1"/>
  <c r="AB27" i="9"/>
  <c r="AB174" i="9" s="1"/>
  <c r="K44" i="9"/>
  <c r="U44" i="9"/>
  <c r="V44" i="9"/>
  <c r="K45" i="9"/>
  <c r="T45" i="9"/>
  <c r="K46" i="9"/>
  <c r="M46" i="9" s="1"/>
  <c r="P46" i="9" s="1"/>
  <c r="K47" i="9"/>
  <c r="M47" i="9" s="1"/>
  <c r="P47" i="9" s="1"/>
  <c r="K48" i="9"/>
  <c r="M48" i="9" s="1"/>
  <c r="P48" i="9" s="1"/>
  <c r="T48" i="9"/>
  <c r="X48" i="9" s="1"/>
  <c r="K49" i="9"/>
  <c r="M49" i="9" s="1"/>
  <c r="P49" i="9" s="1"/>
  <c r="T49" i="9"/>
  <c r="X49" i="9" s="1"/>
  <c r="K50" i="9"/>
  <c r="M50" i="9" s="1"/>
  <c r="P50" i="9" s="1"/>
  <c r="T50" i="9"/>
  <c r="K51" i="9"/>
  <c r="M51" i="9" s="1"/>
  <c r="P51" i="9" s="1"/>
  <c r="T51" i="9"/>
  <c r="X51" i="9" s="1"/>
  <c r="K52" i="9"/>
  <c r="M52" i="9" s="1"/>
  <c r="P52" i="9" s="1"/>
  <c r="T52" i="9"/>
  <c r="X52" i="9" s="1"/>
  <c r="K53" i="9"/>
  <c r="M53" i="9" s="1"/>
  <c r="P53" i="9" s="1"/>
  <c r="T53" i="9"/>
  <c r="X53" i="9" s="1"/>
  <c r="K54" i="9"/>
  <c r="M54" i="9" s="1"/>
  <c r="P54" i="9" s="1"/>
  <c r="T54" i="9"/>
  <c r="X54" i="9" s="1"/>
  <c r="K55" i="9"/>
  <c r="M55" i="9" s="1"/>
  <c r="P55" i="9" s="1"/>
  <c r="T55" i="9"/>
  <c r="X55" i="9" s="1"/>
  <c r="K56" i="9"/>
  <c r="M56" i="9" s="1"/>
  <c r="P56" i="9" s="1"/>
  <c r="T56" i="9"/>
  <c r="X56" i="9" s="1"/>
  <c r="K57" i="9"/>
  <c r="M57" i="9" s="1"/>
  <c r="P57" i="9" s="1"/>
  <c r="K58" i="9"/>
  <c r="M58" i="9" s="1"/>
  <c r="P58" i="9" s="1"/>
  <c r="K59" i="9"/>
  <c r="M59" i="9" s="1"/>
  <c r="P59" i="9" s="1"/>
  <c r="T59" i="9"/>
  <c r="T175" i="9" s="1"/>
  <c r="K60" i="9"/>
  <c r="K61" i="9"/>
  <c r="M61" i="9" s="1"/>
  <c r="P61" i="9" s="1"/>
  <c r="T61" i="9"/>
  <c r="X61" i="9" s="1"/>
  <c r="K62" i="9"/>
  <c r="M62" i="9" s="1"/>
  <c r="P62" i="9" s="1"/>
  <c r="T62" i="9"/>
  <c r="X62" i="9" s="1"/>
  <c r="K63" i="9"/>
  <c r="M63" i="9" s="1"/>
  <c r="P63" i="9" s="1"/>
  <c r="T63" i="9"/>
  <c r="X63" i="9" s="1"/>
  <c r="K64" i="9"/>
  <c r="M64" i="9" s="1"/>
  <c r="P64" i="9" s="1"/>
  <c r="T64" i="9"/>
  <c r="X64" i="9" s="1"/>
  <c r="K65" i="9"/>
  <c r="M65" i="9" s="1"/>
  <c r="P65" i="9" s="1"/>
  <c r="K66" i="9"/>
  <c r="M66" i="9" s="1"/>
  <c r="P66" i="9" s="1"/>
  <c r="K67" i="9"/>
  <c r="M67" i="9" s="1"/>
  <c r="P67" i="9" s="1"/>
  <c r="T67" i="9"/>
  <c r="X67" i="9" s="1"/>
  <c r="K68" i="9"/>
  <c r="M68" i="9" s="1"/>
  <c r="P68" i="9" s="1"/>
  <c r="T68" i="9"/>
  <c r="X68" i="9" s="1"/>
  <c r="K69" i="9"/>
  <c r="M69" i="9" s="1"/>
  <c r="P69" i="9" s="1"/>
  <c r="F71" i="9"/>
  <c r="AC71" i="9"/>
  <c r="F72" i="9"/>
  <c r="N14" i="1"/>
  <c r="N23" i="1"/>
  <c r="K83" i="9"/>
  <c r="M83" i="9" s="1"/>
  <c r="P83" i="9" s="1"/>
  <c r="T83" i="9"/>
  <c r="V83" i="9"/>
  <c r="K84" i="9"/>
  <c r="M84" i="9" s="1"/>
  <c r="P84" i="9" s="1"/>
  <c r="T84" i="9"/>
  <c r="V84" i="9"/>
  <c r="K85" i="9"/>
  <c r="M85" i="9" s="1"/>
  <c r="P85" i="9" s="1"/>
  <c r="T85" i="9"/>
  <c r="X85" i="9" s="1"/>
  <c r="K86" i="9"/>
  <c r="M86" i="9" s="1"/>
  <c r="P86" i="9" s="1"/>
  <c r="U86" i="9"/>
  <c r="V86" i="9"/>
  <c r="K87" i="9"/>
  <c r="M87" i="9" s="1"/>
  <c r="P87" i="9" s="1"/>
  <c r="V87" i="9"/>
  <c r="X87" i="9" s="1"/>
  <c r="K88" i="9"/>
  <c r="M88" i="9" s="1"/>
  <c r="P88" i="9" s="1"/>
  <c r="U88" i="9"/>
  <c r="V88" i="9"/>
  <c r="K89" i="9"/>
  <c r="M89" i="9" s="1"/>
  <c r="P89" i="9" s="1"/>
  <c r="U89" i="9"/>
  <c r="V89" i="9"/>
  <c r="K90" i="9"/>
  <c r="M90" i="9" s="1"/>
  <c r="P90" i="9" s="1"/>
  <c r="U90" i="9"/>
  <c r="V90" i="9"/>
  <c r="K91" i="9"/>
  <c r="M91" i="9" s="1"/>
  <c r="P91" i="9" s="1"/>
  <c r="U91" i="9"/>
  <c r="V91" i="9"/>
  <c r="K92" i="9"/>
  <c r="M92" i="9" s="1"/>
  <c r="P92" i="9" s="1"/>
  <c r="U92" i="9"/>
  <c r="V92" i="9"/>
  <c r="K93" i="9"/>
  <c r="M93" i="9" s="1"/>
  <c r="P93" i="9" s="1"/>
  <c r="U93" i="9"/>
  <c r="V93" i="9"/>
  <c r="K94" i="9"/>
  <c r="M94" i="9" s="1"/>
  <c r="P94" i="9" s="1"/>
  <c r="U94" i="9"/>
  <c r="U140" i="9" s="1"/>
  <c r="U179" i="9" s="1"/>
  <c r="V94" i="9"/>
  <c r="K95" i="9"/>
  <c r="T95" i="9"/>
  <c r="V95" i="9"/>
  <c r="K96" i="9"/>
  <c r="M96" i="9" s="1"/>
  <c r="P96" i="9" s="1"/>
  <c r="T96" i="9"/>
  <c r="V96" i="9"/>
  <c r="K97" i="9"/>
  <c r="M97" i="9" s="1"/>
  <c r="P97" i="9" s="1"/>
  <c r="T97" i="9"/>
  <c r="V97" i="9"/>
  <c r="K98" i="9"/>
  <c r="M98" i="9" s="1"/>
  <c r="P98" i="9" s="1"/>
  <c r="T98" i="9"/>
  <c r="V98" i="9"/>
  <c r="K99" i="9"/>
  <c r="M99" i="9" s="1"/>
  <c r="P99" i="9" s="1"/>
  <c r="T99" i="9"/>
  <c r="X99" i="9" s="1"/>
  <c r="K100" i="9"/>
  <c r="M100" i="9" s="1"/>
  <c r="P100" i="9" s="1"/>
  <c r="T100" i="9"/>
  <c r="V100" i="9"/>
  <c r="K101" i="9"/>
  <c r="M101" i="9" s="1"/>
  <c r="P101" i="9" s="1"/>
  <c r="T101" i="9"/>
  <c r="V101" i="9"/>
  <c r="K102" i="9"/>
  <c r="M102" i="9" s="1"/>
  <c r="P102" i="9" s="1"/>
  <c r="T102" i="9"/>
  <c r="V102" i="9"/>
  <c r="K103" i="9"/>
  <c r="M103" i="9" s="1"/>
  <c r="P103" i="9" s="1"/>
  <c r="T103" i="9"/>
  <c r="V103" i="9"/>
  <c r="K104" i="9"/>
  <c r="M104" i="9" s="1"/>
  <c r="P104" i="9" s="1"/>
  <c r="T104" i="9"/>
  <c r="V104" i="9"/>
  <c r="K105" i="9"/>
  <c r="M105" i="9" s="1"/>
  <c r="P105" i="9" s="1"/>
  <c r="T105" i="9"/>
  <c r="V105" i="9"/>
  <c r="K106" i="9"/>
  <c r="M106" i="9" s="1"/>
  <c r="P106" i="9" s="1"/>
  <c r="T106" i="9"/>
  <c r="V106" i="9"/>
  <c r="K107" i="9"/>
  <c r="M107" i="9" s="1"/>
  <c r="P107" i="9" s="1"/>
  <c r="T107" i="9"/>
  <c r="V107" i="9"/>
  <c r="K108" i="9"/>
  <c r="T108" i="9"/>
  <c r="V108" i="9"/>
  <c r="K109" i="9"/>
  <c r="T109" i="9"/>
  <c r="K110" i="9"/>
  <c r="R110" i="9"/>
  <c r="K111" i="9"/>
  <c r="R111" i="9"/>
  <c r="K112" i="9"/>
  <c r="M112" i="9" s="1"/>
  <c r="P112" i="9"/>
  <c r="R112" i="9"/>
  <c r="K113" i="9"/>
  <c r="M113" i="9" s="1"/>
  <c r="P113" i="9"/>
  <c r="R113" i="9"/>
  <c r="K114" i="9"/>
  <c r="M114" i="9" s="1"/>
  <c r="P114" i="9"/>
  <c r="R114" i="9"/>
  <c r="K115" i="9"/>
  <c r="M115" i="9" s="1"/>
  <c r="P115" i="9"/>
  <c r="R115" i="9"/>
  <c r="K116" i="9"/>
  <c r="M116" i="9" s="1"/>
  <c r="P116" i="9"/>
  <c r="R116" i="9"/>
  <c r="K117" i="9"/>
  <c r="M117" i="9" s="1"/>
  <c r="P117" i="9"/>
  <c r="R117" i="9"/>
  <c r="K118" i="9"/>
  <c r="M118" i="9" s="1"/>
  <c r="P118" i="9"/>
  <c r="R118" i="9"/>
  <c r="K119" i="9"/>
  <c r="M119" i="9" s="1"/>
  <c r="P119" i="9"/>
  <c r="R119" i="9"/>
  <c r="J120" i="9"/>
  <c r="K120" i="9" s="1"/>
  <c r="M120" i="9" s="1"/>
  <c r="P120" i="9"/>
  <c r="R120" i="9"/>
  <c r="J121" i="9"/>
  <c r="K121" i="9" s="1"/>
  <c r="M121" i="9" s="1"/>
  <c r="P121" i="9"/>
  <c r="R121" i="9"/>
  <c r="J122" i="9"/>
  <c r="K122" i="9" s="1"/>
  <c r="M122" i="9" s="1"/>
  <c r="P122" i="9"/>
  <c r="R122" i="9"/>
  <c r="J123" i="9"/>
  <c r="K123" i="9" s="1"/>
  <c r="M123" i="9" s="1"/>
  <c r="P123" i="9"/>
  <c r="R123" i="9"/>
  <c r="J124" i="9"/>
  <c r="K124" i="9" s="1"/>
  <c r="M124" i="9" s="1"/>
  <c r="P124" i="9"/>
  <c r="R124" i="9"/>
  <c r="J125" i="9"/>
  <c r="K125" i="9" s="1"/>
  <c r="M125" i="9" s="1"/>
  <c r="P125" i="9"/>
  <c r="R125" i="9"/>
  <c r="J126" i="9"/>
  <c r="K126" i="9" s="1"/>
  <c r="M126" i="9" s="1"/>
  <c r="P126" i="9"/>
  <c r="R126" i="9"/>
  <c r="J127" i="9"/>
  <c r="K127" i="9" s="1"/>
  <c r="M127" i="9" s="1"/>
  <c r="P127" i="9"/>
  <c r="R127" i="9"/>
  <c r="J128" i="9"/>
  <c r="K128" i="9" s="1"/>
  <c r="M128" i="9" s="1"/>
  <c r="P128" i="9"/>
  <c r="R128" i="9"/>
  <c r="J129" i="9"/>
  <c r="K129" i="9" s="1"/>
  <c r="M129" i="9" s="1"/>
  <c r="P129" i="9"/>
  <c r="R129" i="9"/>
  <c r="J130" i="9"/>
  <c r="K130" i="9" s="1"/>
  <c r="M130" i="9" s="1"/>
  <c r="P130" i="9"/>
  <c r="R130" i="9"/>
  <c r="Q23" i="1"/>
  <c r="K146" i="9"/>
  <c r="T146" i="9"/>
  <c r="X146" i="9" s="1"/>
  <c r="X153" i="9" s="1"/>
  <c r="J147" i="9"/>
  <c r="K147" i="9" s="1"/>
  <c r="M147" i="9" s="1"/>
  <c r="P147" i="9"/>
  <c r="R147" i="9"/>
  <c r="J148" i="9"/>
  <c r="K148" i="9" s="1"/>
  <c r="P148" i="9"/>
  <c r="R148" i="9"/>
  <c r="J149" i="9"/>
  <c r="K149" i="9" s="1"/>
  <c r="M149" i="9" s="1"/>
  <c r="P149" i="9"/>
  <c r="R149" i="9"/>
  <c r="J151" i="9"/>
  <c r="K151" i="9" s="1"/>
  <c r="M151" i="9" s="1"/>
  <c r="P151" i="9"/>
  <c r="R151" i="9"/>
  <c r="F152" i="9"/>
  <c r="F153" i="9"/>
  <c r="T23" i="1" s="1"/>
  <c r="K158" i="9"/>
  <c r="P158" i="9"/>
  <c r="K159" i="9"/>
  <c r="M159" i="9" s="1"/>
  <c r="P159" i="9"/>
  <c r="J160" i="9"/>
  <c r="K160" i="9" s="1"/>
  <c r="K168" i="9" s="1"/>
  <c r="K178" i="9" s="1"/>
  <c r="P160" i="9"/>
  <c r="R160" i="9"/>
  <c r="J161" i="9"/>
  <c r="K161" i="9" s="1"/>
  <c r="P161" i="9"/>
  <c r="R161" i="9"/>
  <c r="J162" i="9"/>
  <c r="K162" i="9" s="1"/>
  <c r="M162" i="9" s="1"/>
  <c r="P162" i="9"/>
  <c r="R162" i="9"/>
  <c r="F167" i="9"/>
  <c r="F168" i="9"/>
  <c r="U23" i="1" s="1"/>
  <c r="L26" i="3"/>
  <c r="I30" i="17"/>
  <c r="P30" i="17" s="1"/>
  <c r="K30" i="17"/>
  <c r="R30" i="17" s="1"/>
  <c r="H31" i="17"/>
  <c r="O31" i="17" s="1"/>
  <c r="K31" i="17"/>
  <c r="R31" i="17" s="1"/>
  <c r="H30" i="3"/>
  <c r="H33" i="17" s="1"/>
  <c r="O33" i="17" s="1"/>
  <c r="I30" i="3"/>
  <c r="I33" i="17" s="1"/>
  <c r="J30" i="3"/>
  <c r="J33" i="17" s="1"/>
  <c r="Q33" i="17" s="1"/>
  <c r="K30" i="3"/>
  <c r="K33" i="17" s="1"/>
  <c r="R33" i="17" s="1"/>
  <c r="H31" i="3"/>
  <c r="H34" i="17" s="1"/>
  <c r="O34" i="17" s="1"/>
  <c r="I31" i="3"/>
  <c r="I34" i="17" s="1"/>
  <c r="J31" i="3"/>
  <c r="J34" i="17" s="1"/>
  <c r="Q34" i="17" s="1"/>
  <c r="K31" i="3"/>
  <c r="K34" i="17" s="1"/>
  <c r="R34" i="17" s="1"/>
  <c r="H32" i="3"/>
  <c r="H35" i="17" s="1"/>
  <c r="O35" i="17" s="1"/>
  <c r="I32" i="3"/>
  <c r="J32" i="3"/>
  <c r="J35" i="17" s="1"/>
  <c r="Q35" i="17" s="1"/>
  <c r="K32" i="3"/>
  <c r="K35" i="17" s="1"/>
  <c r="R35" i="17" s="1"/>
  <c r="L33" i="3"/>
  <c r="L41" i="3" s="1"/>
  <c r="H36" i="3"/>
  <c r="H39" i="17" s="1"/>
  <c r="I36" i="3"/>
  <c r="I39" i="17" s="1"/>
  <c r="P39" i="17" s="1"/>
  <c r="J36" i="3"/>
  <c r="J39" i="17" s="1"/>
  <c r="Q39" i="17" s="1"/>
  <c r="K36" i="3"/>
  <c r="H37" i="3"/>
  <c r="H40" i="17" s="1"/>
  <c r="O40" i="17" s="1"/>
  <c r="I37" i="3"/>
  <c r="I40" i="17" s="1"/>
  <c r="P40" i="17" s="1"/>
  <c r="J37" i="3"/>
  <c r="J40" i="17" s="1"/>
  <c r="Q40" i="17" s="1"/>
  <c r="K37" i="3"/>
  <c r="K40" i="17" s="1"/>
  <c r="R40" i="17" s="1"/>
  <c r="H38" i="3"/>
  <c r="H41" i="17" s="1"/>
  <c r="O41" i="17" s="1"/>
  <c r="I38" i="3"/>
  <c r="I41" i="17" s="1"/>
  <c r="P41" i="17" s="1"/>
  <c r="J38" i="3"/>
  <c r="J41" i="17" s="1"/>
  <c r="Q41" i="17" s="1"/>
  <c r="K38" i="3"/>
  <c r="K41" i="17" s="1"/>
  <c r="R41" i="17" s="1"/>
  <c r="H39" i="3"/>
  <c r="H42" i="17" s="1"/>
  <c r="O42" i="17" s="1"/>
  <c r="I39" i="3"/>
  <c r="I42" i="17" s="1"/>
  <c r="P42" i="17" s="1"/>
  <c r="J39" i="3"/>
  <c r="J42" i="17" s="1"/>
  <c r="Q42" i="17" s="1"/>
  <c r="K39" i="3"/>
  <c r="K42" i="17" s="1"/>
  <c r="R42" i="17" s="1"/>
  <c r="H40" i="3"/>
  <c r="H43" i="17" s="1"/>
  <c r="O43" i="17" s="1"/>
  <c r="I40" i="3"/>
  <c r="J40" i="3"/>
  <c r="J43" i="17" s="1"/>
  <c r="Q43" i="17" s="1"/>
  <c r="K40" i="3"/>
  <c r="K43" i="17" s="1"/>
  <c r="R43" i="17" s="1"/>
  <c r="H41" i="3"/>
  <c r="H44" i="17" s="1"/>
  <c r="O44" i="17" s="1"/>
  <c r="I41" i="3"/>
  <c r="J41" i="3"/>
  <c r="J44" i="17" s="1"/>
  <c r="Q44" i="17" s="1"/>
  <c r="K41" i="3"/>
  <c r="L42" i="3"/>
  <c r="H47" i="17"/>
  <c r="O47" i="17" s="1"/>
  <c r="H46" i="3"/>
  <c r="I46" i="3"/>
  <c r="I49" i="17" s="1"/>
  <c r="K46" i="3"/>
  <c r="K49" i="17" s="1"/>
  <c r="R49" i="17" s="1"/>
  <c r="H47" i="3"/>
  <c r="H50" i="17" s="1"/>
  <c r="O50" i="17" s="1"/>
  <c r="I47" i="3"/>
  <c r="I50" i="17" s="1"/>
  <c r="P50" i="17" s="1"/>
  <c r="K47" i="3"/>
  <c r="K50" i="17" s="1"/>
  <c r="R50" i="17" s="1"/>
  <c r="H48" i="3"/>
  <c r="I48" i="3"/>
  <c r="I51" i="17" s="1"/>
  <c r="P51" i="17" s="1"/>
  <c r="K48" i="3"/>
  <c r="K51" i="17" s="1"/>
  <c r="R51" i="17" s="1"/>
  <c r="L50" i="3"/>
  <c r="N57" i="2"/>
  <c r="J38" i="17"/>
  <c r="Q38" i="17" s="1"/>
  <c r="I31" i="17"/>
  <c r="P31" i="17" s="1"/>
  <c r="O13" i="13"/>
  <c r="J37" i="17"/>
  <c r="Q37" i="17" s="1"/>
  <c r="I37" i="17"/>
  <c r="J56" i="16"/>
  <c r="S56" i="16" s="1"/>
  <c r="P12" i="13"/>
  <c r="L29" i="3"/>
  <c r="J30" i="17"/>
  <c r="Q30" i="17" s="1"/>
  <c r="H51" i="17"/>
  <c r="O51" i="17" s="1"/>
  <c r="S51" i="17" s="1"/>
  <c r="H58" i="2"/>
  <c r="H56" i="16" s="1"/>
  <c r="Q56" i="16" s="1"/>
  <c r="X12" i="9"/>
  <c r="U25" i="9"/>
  <c r="H12" i="2" s="1"/>
  <c r="H13" i="2" s="1"/>
  <c r="H13" i="16" s="1"/>
  <c r="Q13" i="16" s="1"/>
  <c r="X130" i="9"/>
  <c r="K48" i="17"/>
  <c r="R48" i="17" s="1"/>
  <c r="P37" i="10"/>
  <c r="I44" i="17"/>
  <c r="P44" i="17" s="1"/>
  <c r="K39" i="17"/>
  <c r="R39" i="17" s="1"/>
  <c r="K8" i="3"/>
  <c r="K23" i="3" s="1"/>
  <c r="E43" i="12"/>
  <c r="W22" i="1" s="1"/>
  <c r="G37" i="4"/>
  <c r="K13" i="3"/>
  <c r="K14" i="17" s="1"/>
  <c r="R14" i="17" s="1"/>
  <c r="P37" i="17"/>
  <c r="X45" i="9" l="1"/>
  <c r="T174" i="9"/>
  <c r="M44" i="9"/>
  <c r="AA71" i="9"/>
  <c r="AA172" i="9" s="1"/>
  <c r="AA173" i="9"/>
  <c r="M45" i="9"/>
  <c r="K174" i="9"/>
  <c r="F172" i="9"/>
  <c r="K175" i="9"/>
  <c r="T173" i="9"/>
  <c r="J17" i="2"/>
  <c r="J17" i="16" s="1"/>
  <c r="S17" i="16" s="1"/>
  <c r="AB172" i="9"/>
  <c r="J28" i="2"/>
  <c r="J49" i="16"/>
  <c r="S49" i="16" s="1"/>
  <c r="H64" i="2"/>
  <c r="H65" i="2" s="1"/>
  <c r="P49" i="11"/>
  <c r="H46" i="2"/>
  <c r="H48" i="16" s="1"/>
  <c r="Q48" i="16" s="1"/>
  <c r="J8" i="11"/>
  <c r="H49" i="2"/>
  <c r="H51" i="16" s="1"/>
  <c r="Q51" i="16" s="1"/>
  <c r="J12" i="11"/>
  <c r="P28" i="10"/>
  <c r="D21" i="11"/>
  <c r="H32" i="2" s="1"/>
  <c r="H34" i="16" s="1"/>
  <c r="Q34" i="16" s="1"/>
  <c r="P25" i="10"/>
  <c r="G23" i="11"/>
  <c r="K34" i="2" s="1"/>
  <c r="K36" i="16" s="1"/>
  <c r="T36" i="16" s="1"/>
  <c r="W36" i="16" s="1"/>
  <c r="P22" i="10"/>
  <c r="P26" i="10"/>
  <c r="P27" i="10"/>
  <c r="F50" i="11"/>
  <c r="L46" i="2"/>
  <c r="L48" i="16" s="1"/>
  <c r="U48" i="16" s="1"/>
  <c r="G22" i="11"/>
  <c r="K33" i="2" s="1"/>
  <c r="K35" i="16" s="1"/>
  <c r="T35" i="16" s="1"/>
  <c r="F22" i="11"/>
  <c r="J33" i="2" s="1"/>
  <c r="H35" i="4"/>
  <c r="L16" i="17"/>
  <c r="L43" i="3"/>
  <c r="T29" i="10"/>
  <c r="L37" i="3"/>
  <c r="L28" i="3"/>
  <c r="L45" i="3"/>
  <c r="T37" i="9"/>
  <c r="I46" i="17"/>
  <c r="P46" i="17" s="1"/>
  <c r="S46" i="17" s="1"/>
  <c r="L29" i="17"/>
  <c r="L35" i="3"/>
  <c r="G35" i="4"/>
  <c r="L36" i="3"/>
  <c r="J33" i="12"/>
  <c r="I24" i="11"/>
  <c r="N63" i="2"/>
  <c r="H61" i="16"/>
  <c r="Q61" i="16" s="1"/>
  <c r="H37" i="4"/>
  <c r="E29" i="12"/>
  <c r="G14" i="8"/>
  <c r="H20" i="11"/>
  <c r="L31" i="2" s="1"/>
  <c r="L33" i="16" s="1"/>
  <c r="U33" i="16" s="1"/>
  <c r="X29" i="10"/>
  <c r="L15" i="3"/>
  <c r="L48" i="3"/>
  <c r="J50" i="11"/>
  <c r="L50" i="11"/>
  <c r="L46" i="3"/>
  <c r="L27" i="3"/>
  <c r="H50" i="11"/>
  <c r="J23" i="12"/>
  <c r="N60" i="16"/>
  <c r="Q60" i="16"/>
  <c r="J11" i="3"/>
  <c r="J11" i="17" s="1"/>
  <c r="Q11" i="17" s="1"/>
  <c r="L36" i="17"/>
  <c r="S142" i="9"/>
  <c r="S182" i="9" s="1"/>
  <c r="S58" i="16"/>
  <c r="F41" i="11"/>
  <c r="X132" i="9"/>
  <c r="J29" i="16"/>
  <c r="S29" i="16" s="1"/>
  <c r="X98" i="9"/>
  <c r="X84" i="9"/>
  <c r="L39" i="3"/>
  <c r="L32" i="3"/>
  <c r="X43" i="9"/>
  <c r="F37" i="4"/>
  <c r="O18" i="17"/>
  <c r="L37" i="17"/>
  <c r="K10" i="3"/>
  <c r="K10" i="17" s="1"/>
  <c r="R10" i="17" s="1"/>
  <c r="L47" i="3"/>
  <c r="L32" i="17"/>
  <c r="M74" i="2"/>
  <c r="L44" i="3"/>
  <c r="K38" i="17"/>
  <c r="R38" i="17" s="1"/>
  <c r="J74" i="2"/>
  <c r="J73" i="16" s="1"/>
  <c r="S73" i="16" s="1"/>
  <c r="H12" i="1"/>
  <c r="K6" i="5" s="1"/>
  <c r="H74" i="2"/>
  <c r="G20" i="11"/>
  <c r="K21" i="2"/>
  <c r="K22" i="16" s="1"/>
  <c r="T22" i="16" s="1"/>
  <c r="K74" i="2"/>
  <c r="L34" i="17"/>
  <c r="S137" i="9"/>
  <c r="S172" i="9" s="1"/>
  <c r="F36" i="4"/>
  <c r="L31" i="3"/>
  <c r="L40" i="3"/>
  <c r="V25" i="9"/>
  <c r="H14" i="2" s="1"/>
  <c r="H14" i="16" s="1"/>
  <c r="Q14" i="16" s="1"/>
  <c r="O16" i="17"/>
  <c r="S16" i="17" s="1"/>
  <c r="L34" i="3"/>
  <c r="M21" i="10"/>
  <c r="N13" i="14"/>
  <c r="Q13" i="14" s="1"/>
  <c r="N62" i="2"/>
  <c r="I11" i="3"/>
  <c r="I11" i="17" s="1"/>
  <c r="P11" i="17" s="1"/>
  <c r="L45" i="17"/>
  <c r="G12" i="5"/>
  <c r="J18" i="2"/>
  <c r="J18" i="16" s="1"/>
  <c r="S18" i="16" s="1"/>
  <c r="K27" i="9"/>
  <c r="X27" i="9"/>
  <c r="N55" i="16"/>
  <c r="P46" i="11"/>
  <c r="J18" i="11"/>
  <c r="J33" i="11"/>
  <c r="J40" i="16"/>
  <c r="S40" i="16" s="1"/>
  <c r="W40" i="16" s="1"/>
  <c r="H18" i="2"/>
  <c r="H18" i="16" s="1"/>
  <c r="T140" i="9"/>
  <c r="T179" i="9" s="1"/>
  <c r="X148" i="9"/>
  <c r="V140" i="9"/>
  <c r="V179" i="9" s="1"/>
  <c r="H48" i="11"/>
  <c r="P48" i="11"/>
  <c r="F51" i="11"/>
  <c r="N41" i="2"/>
  <c r="N39" i="2"/>
  <c r="N37" i="2"/>
  <c r="N50" i="11"/>
  <c r="J31" i="2"/>
  <c r="J33" i="16" s="1"/>
  <c r="S33" i="16" s="1"/>
  <c r="H24" i="11"/>
  <c r="J9" i="11"/>
  <c r="N12" i="1"/>
  <c r="K8" i="5" s="1"/>
  <c r="F173" i="9"/>
  <c r="P169" i="9"/>
  <c r="P181" i="9" s="1"/>
  <c r="F181" i="9"/>
  <c r="T152" i="9"/>
  <c r="L10" i="2" s="1"/>
  <c r="L10" i="16" s="1"/>
  <c r="U10" i="16" s="1"/>
  <c r="P139" i="9"/>
  <c r="R139" i="9"/>
  <c r="M95" i="9"/>
  <c r="K141" i="9"/>
  <c r="K180" i="9" s="1"/>
  <c r="X133" i="9"/>
  <c r="V142" i="9"/>
  <c r="V182" i="9" s="1"/>
  <c r="K139" i="9"/>
  <c r="U138" i="9"/>
  <c r="U177" i="9" s="1"/>
  <c r="M11" i="9"/>
  <c r="M26" i="9" s="1"/>
  <c r="X109" i="9"/>
  <c r="T138" i="9"/>
  <c r="K140" i="9"/>
  <c r="K179" i="9" s="1"/>
  <c r="V141" i="9"/>
  <c r="V180" i="9" s="1"/>
  <c r="X118" i="9"/>
  <c r="T139" i="9"/>
  <c r="K142" i="9"/>
  <c r="K182" i="9" s="1"/>
  <c r="T153" i="9"/>
  <c r="K138" i="9"/>
  <c r="V138" i="9"/>
  <c r="V177" i="9" s="1"/>
  <c r="T141" i="9"/>
  <c r="T180" i="9" s="1"/>
  <c r="X59" i="9"/>
  <c r="X175" i="9" s="1"/>
  <c r="X110" i="9"/>
  <c r="U139" i="9"/>
  <c r="M110" i="9"/>
  <c r="M108" i="9"/>
  <c r="M140" i="9" s="1"/>
  <c r="M179" i="9" s="1"/>
  <c r="X111" i="9"/>
  <c r="M109" i="9"/>
  <c r="M138" i="9" s="1"/>
  <c r="X50" i="9"/>
  <c r="M60" i="9"/>
  <c r="M21" i="9"/>
  <c r="M28" i="9" s="1"/>
  <c r="M175" i="9" s="1"/>
  <c r="M12" i="9"/>
  <c r="M27" i="9" s="1"/>
  <c r="X167" i="9"/>
  <c r="R166" i="9"/>
  <c r="M27" i="2" s="1"/>
  <c r="M28" i="16" s="1"/>
  <c r="V28" i="16" s="1"/>
  <c r="R168" i="9"/>
  <c r="R169" i="9"/>
  <c r="P168" i="9"/>
  <c r="P178" i="9" s="1"/>
  <c r="P167" i="9"/>
  <c r="P166" i="9"/>
  <c r="M25" i="2" s="1"/>
  <c r="M26" i="16" s="1"/>
  <c r="V26" i="16" s="1"/>
  <c r="T166" i="9"/>
  <c r="M10" i="2" s="1"/>
  <c r="M11" i="2" s="1"/>
  <c r="M11" i="16" s="1"/>
  <c r="V11" i="16" s="1"/>
  <c r="T167" i="9"/>
  <c r="T177" i="9" s="1"/>
  <c r="X161" i="9"/>
  <c r="U169" i="9"/>
  <c r="U181" i="9" s="1"/>
  <c r="U166" i="9"/>
  <c r="M12" i="2" s="1"/>
  <c r="M158" i="9"/>
  <c r="K166" i="9"/>
  <c r="M22" i="2" s="1"/>
  <c r="K167" i="9"/>
  <c r="K177" i="9" s="1"/>
  <c r="X162" i="9"/>
  <c r="T169" i="9"/>
  <c r="T181" i="9" s="1"/>
  <c r="M161" i="9"/>
  <c r="M169" i="9" s="1"/>
  <c r="K169" i="9"/>
  <c r="K181" i="9" s="1"/>
  <c r="X107" i="9"/>
  <c r="X108" i="9"/>
  <c r="X103" i="9"/>
  <c r="X94" i="9"/>
  <c r="K24" i="2"/>
  <c r="K25" i="16" s="1"/>
  <c r="T25" i="16" s="1"/>
  <c r="X104" i="9"/>
  <c r="X100" i="9"/>
  <c r="X89" i="9"/>
  <c r="X88" i="9"/>
  <c r="U154" i="9"/>
  <c r="M24" i="2"/>
  <c r="M25" i="16" s="1"/>
  <c r="V25" i="16" s="1"/>
  <c r="M21" i="2"/>
  <c r="M22" i="16" s="1"/>
  <c r="V22" i="16" s="1"/>
  <c r="J52" i="11"/>
  <c r="J23" i="11"/>
  <c r="I11" i="4" s="1"/>
  <c r="F52" i="11"/>
  <c r="P52" i="11"/>
  <c r="L52" i="11"/>
  <c r="J46" i="11"/>
  <c r="K48" i="2"/>
  <c r="L46" i="11"/>
  <c r="H52" i="11"/>
  <c r="N46" i="11"/>
  <c r="G11" i="11"/>
  <c r="G13" i="11" s="1"/>
  <c r="J37" i="11"/>
  <c r="I20" i="4" s="1"/>
  <c r="N44" i="2"/>
  <c r="J48" i="11"/>
  <c r="L49" i="11"/>
  <c r="H49" i="11"/>
  <c r="F11" i="11"/>
  <c r="F13" i="11" s="1"/>
  <c r="J46" i="2"/>
  <c r="K47" i="2"/>
  <c r="K49" i="16" s="1"/>
  <c r="T49" i="16" s="1"/>
  <c r="L48" i="11"/>
  <c r="N49" i="11"/>
  <c r="L51" i="11"/>
  <c r="H51" i="11"/>
  <c r="N51" i="11"/>
  <c r="F48" i="11"/>
  <c r="J38" i="11"/>
  <c r="I18" i="4" s="1"/>
  <c r="J35" i="11"/>
  <c r="I19" i="4" s="1"/>
  <c r="F49" i="11"/>
  <c r="J51" i="11"/>
  <c r="D11" i="11"/>
  <c r="D13" i="11" s="1"/>
  <c r="K152" i="9"/>
  <c r="L22" i="2" s="1"/>
  <c r="J24" i="2"/>
  <c r="J25" i="16" s="1"/>
  <c r="S25" i="16" s="1"/>
  <c r="M43" i="9"/>
  <c r="P154" i="9"/>
  <c r="X105" i="9"/>
  <c r="X92" i="9"/>
  <c r="X147" i="9"/>
  <c r="U152" i="9"/>
  <c r="X106" i="9"/>
  <c r="X93" i="9"/>
  <c r="X86" i="9"/>
  <c r="X83" i="9"/>
  <c r="F178" i="9"/>
  <c r="X131" i="9"/>
  <c r="X102" i="9"/>
  <c r="X90" i="9"/>
  <c r="AC25" i="9"/>
  <c r="H28" i="2" s="1"/>
  <c r="U22" i="16"/>
  <c r="W55" i="16"/>
  <c r="Q37" i="16"/>
  <c r="W37" i="16" s="1"/>
  <c r="N37" i="16"/>
  <c r="N59" i="16"/>
  <c r="H45" i="16"/>
  <c r="Q45" i="16" s="1"/>
  <c r="N43" i="2"/>
  <c r="L33" i="17"/>
  <c r="P33" i="17"/>
  <c r="S33" i="17" s="1"/>
  <c r="N43" i="16"/>
  <c r="T43" i="16"/>
  <c r="W43" i="16" s="1"/>
  <c r="Q12" i="14"/>
  <c r="Q16" i="14" s="1"/>
  <c r="Q17" i="14" s="1"/>
  <c r="N16" i="14"/>
  <c r="N17" i="14" s="1"/>
  <c r="P34" i="17"/>
  <c r="S34" i="17" s="1"/>
  <c r="N56" i="16"/>
  <c r="N35" i="2"/>
  <c r="M148" i="9"/>
  <c r="M154" i="9" s="1"/>
  <c r="K29" i="12"/>
  <c r="I20" i="3" s="1"/>
  <c r="I22" i="17" s="1"/>
  <c r="P22" i="17" s="1"/>
  <c r="W32" i="16"/>
  <c r="L41" i="16"/>
  <c r="U41" i="16" s="1"/>
  <c r="W41" i="16" s="1"/>
  <c r="J65" i="2"/>
  <c r="J62" i="16" s="1"/>
  <c r="U29" i="10"/>
  <c r="H49" i="17"/>
  <c r="O49" i="17" s="1"/>
  <c r="K11" i="3"/>
  <c r="K11" i="17" s="1"/>
  <c r="R11" i="17" s="1"/>
  <c r="S29" i="10"/>
  <c r="N60" i="2"/>
  <c r="L38" i="3"/>
  <c r="I35" i="17"/>
  <c r="G8" i="8"/>
  <c r="K42" i="16"/>
  <c r="N42" i="16" s="1"/>
  <c r="L24" i="2"/>
  <c r="L25" i="16" s="1"/>
  <c r="U25" i="16" s="1"/>
  <c r="H14" i="3"/>
  <c r="H15" i="17" s="1"/>
  <c r="O15" i="17" s="1"/>
  <c r="G12" i="8"/>
  <c r="R152" i="9"/>
  <c r="X24" i="1"/>
  <c r="I11" i="2"/>
  <c r="H62" i="16"/>
  <c r="X160" i="9"/>
  <c r="X168" i="9" s="1"/>
  <c r="X178" i="9" s="1"/>
  <c r="J57" i="16"/>
  <c r="S57" i="16" s="1"/>
  <c r="H13" i="11"/>
  <c r="X97" i="9"/>
  <c r="Z29" i="10"/>
  <c r="T13" i="13"/>
  <c r="L51" i="17"/>
  <c r="N61" i="2"/>
  <c r="F35" i="4"/>
  <c r="N39" i="16"/>
  <c r="W39" i="16"/>
  <c r="M146" i="9"/>
  <c r="K153" i="9"/>
  <c r="I14" i="3"/>
  <c r="I15" i="17" s="1"/>
  <c r="P15" i="17" s="1"/>
  <c r="R137" i="9"/>
  <c r="K27" i="2" s="1"/>
  <c r="K28" i="16" s="1"/>
  <c r="T28" i="16" s="1"/>
  <c r="X96" i="9"/>
  <c r="T137" i="9"/>
  <c r="K10" i="2" s="1"/>
  <c r="K10" i="16" s="1"/>
  <c r="T10" i="16" s="1"/>
  <c r="U71" i="9"/>
  <c r="X44" i="9"/>
  <c r="K17" i="2"/>
  <c r="X115" i="9"/>
  <c r="M131" i="9"/>
  <c r="M142" i="9" s="1"/>
  <c r="M182" i="9" s="1"/>
  <c r="M36" i="9"/>
  <c r="M37" i="9"/>
  <c r="P34" i="9"/>
  <c r="K37" i="9"/>
  <c r="K173" i="9" s="1"/>
  <c r="X101" i="9"/>
  <c r="V137" i="9"/>
  <c r="W23" i="1"/>
  <c r="X23" i="1" s="1"/>
  <c r="F177" i="9"/>
  <c r="K36" i="9"/>
  <c r="I22" i="2" s="1"/>
  <c r="U137" i="9"/>
  <c r="T25" i="9"/>
  <c r="H10" i="2" s="1"/>
  <c r="X11" i="9"/>
  <c r="X26" i="9" s="1"/>
  <c r="K12" i="1"/>
  <c r="K7" i="5"/>
  <c r="V71" i="9"/>
  <c r="X95" i="9"/>
  <c r="X91" i="9"/>
  <c r="U45" i="16"/>
  <c r="L74" i="2"/>
  <c r="H26" i="2"/>
  <c r="M47" i="16"/>
  <c r="N45" i="2"/>
  <c r="K25" i="9"/>
  <c r="H22" i="2" s="1"/>
  <c r="T71" i="9"/>
  <c r="T172" i="9" s="1"/>
  <c r="D20" i="11"/>
  <c r="M160" i="9"/>
  <c r="M168" i="9" s="1"/>
  <c r="M178" i="9" s="1"/>
  <c r="J36" i="11"/>
  <c r="I11" i="16"/>
  <c r="R11" i="16" s="1"/>
  <c r="G36" i="4"/>
  <c r="K154" i="9"/>
  <c r="H44" i="16"/>
  <c r="M111" i="9"/>
  <c r="V37" i="9"/>
  <c r="V173" i="9" s="1"/>
  <c r="V36" i="9"/>
  <c r="I14" i="2" s="1"/>
  <c r="X34" i="9"/>
  <c r="K71" i="9"/>
  <c r="H12" i="16"/>
  <c r="Q12" i="16" s="1"/>
  <c r="K137" i="9"/>
  <c r="K22" i="2" s="1"/>
  <c r="R154" i="9"/>
  <c r="H36" i="4"/>
  <c r="K44" i="17"/>
  <c r="R44" i="17" s="1"/>
  <c r="S44" i="17" s="1"/>
  <c r="N36" i="2"/>
  <c r="I43" i="17"/>
  <c r="P43" i="17" s="1"/>
  <c r="L30" i="3"/>
  <c r="M29" i="10"/>
  <c r="J34" i="12"/>
  <c r="G34" i="12"/>
  <c r="G36" i="12" s="1"/>
  <c r="J24" i="3" s="1"/>
  <c r="P21" i="10"/>
  <c r="P13" i="13"/>
  <c r="I19" i="12"/>
  <c r="H22" i="3" s="1"/>
  <c r="I10" i="3"/>
  <c r="I10" i="17" s="1"/>
  <c r="P10" i="17" s="1"/>
  <c r="I29" i="12"/>
  <c r="I22" i="3" s="1"/>
  <c r="I24" i="17" s="1"/>
  <c r="P24" i="17" s="1"/>
  <c r="G11" i="12"/>
  <c r="J29" i="12"/>
  <c r="I19" i="3" s="1"/>
  <c r="I21" i="17" s="1"/>
  <c r="P21" i="17" s="1"/>
  <c r="H21" i="3"/>
  <c r="H23" i="17" s="1"/>
  <c r="O23" i="17" s="1"/>
  <c r="E19" i="12"/>
  <c r="Q22" i="1" s="1"/>
  <c r="H9" i="5" s="1"/>
  <c r="K23" i="17"/>
  <c r="R23" i="17" s="1"/>
  <c r="G29" i="12"/>
  <c r="I24" i="3" s="1"/>
  <c r="I26" i="17" s="1"/>
  <c r="P26" i="17" s="1"/>
  <c r="H19" i="3"/>
  <c r="H21" i="17" s="1"/>
  <c r="O21" i="17" s="1"/>
  <c r="I35" i="12"/>
  <c r="I36" i="12" s="1"/>
  <c r="J22" i="3" s="1"/>
  <c r="G32" i="4" s="1"/>
  <c r="I43" i="12"/>
  <c r="K22" i="3" s="1"/>
  <c r="K24" i="17" s="1"/>
  <c r="R24" i="17" s="1"/>
  <c r="K8" i="17"/>
  <c r="E36" i="12"/>
  <c r="J43" i="12"/>
  <c r="K19" i="3" s="1"/>
  <c r="J8" i="3"/>
  <c r="J10" i="3" s="1"/>
  <c r="J10" i="17" s="1"/>
  <c r="Q10" i="17" s="1"/>
  <c r="J35" i="12"/>
  <c r="J21" i="3"/>
  <c r="J23" i="17" s="1"/>
  <c r="Q23" i="17" s="1"/>
  <c r="K26" i="17"/>
  <c r="R26" i="17" s="1"/>
  <c r="H31" i="4"/>
  <c r="H20" i="3"/>
  <c r="J23" i="3"/>
  <c r="J25" i="17" s="1"/>
  <c r="Q25" i="17" s="1"/>
  <c r="H23" i="3"/>
  <c r="H25" i="17" s="1"/>
  <c r="O25" i="17" s="1"/>
  <c r="I13" i="3"/>
  <c r="I14" i="17" s="1"/>
  <c r="P14" i="17" s="1"/>
  <c r="I21" i="3"/>
  <c r="I23" i="17" s="1"/>
  <c r="P23" i="17" s="1"/>
  <c r="I23" i="3"/>
  <c r="I25" i="17" s="1"/>
  <c r="P25" i="17" s="1"/>
  <c r="S18" i="17"/>
  <c r="L39" i="17"/>
  <c r="L49" i="17"/>
  <c r="S41" i="17"/>
  <c r="S47" i="17"/>
  <c r="H11" i="3"/>
  <c r="S50" i="17"/>
  <c r="L47" i="17"/>
  <c r="L43" i="17"/>
  <c r="L41" i="17"/>
  <c r="L48" i="17"/>
  <c r="L38" i="17"/>
  <c r="O39" i="17"/>
  <c r="S39" i="17" s="1"/>
  <c r="L31" i="17"/>
  <c r="L42" i="17"/>
  <c r="L30" i="17"/>
  <c r="P49" i="17"/>
  <c r="L50" i="17"/>
  <c r="S48" i="17"/>
  <c r="S40" i="17"/>
  <c r="S37" i="17"/>
  <c r="L40" i="17"/>
  <c r="S38" i="17"/>
  <c r="S43" i="17"/>
  <c r="S30" i="17"/>
  <c r="K25" i="17"/>
  <c r="R25" i="17" s="1"/>
  <c r="S31" i="17"/>
  <c r="S42" i="17"/>
  <c r="H58" i="16"/>
  <c r="P45" i="9" l="1"/>
  <c r="M174" i="9"/>
  <c r="P44" i="9"/>
  <c r="AC172" i="9"/>
  <c r="I7" i="4" s="1"/>
  <c r="L27" i="2"/>
  <c r="L28" i="16" s="1"/>
  <c r="U28" i="16" s="1"/>
  <c r="J14" i="3"/>
  <c r="J15" i="17" s="1"/>
  <c r="Q15" i="17" s="1"/>
  <c r="R172" i="9"/>
  <c r="X177" i="9"/>
  <c r="K14" i="3"/>
  <c r="R178" i="9"/>
  <c r="M173" i="9"/>
  <c r="R181" i="9"/>
  <c r="X174" i="9"/>
  <c r="J22" i="2"/>
  <c r="K172" i="9"/>
  <c r="J14" i="2"/>
  <c r="V172" i="9"/>
  <c r="J12" i="2"/>
  <c r="U172" i="9"/>
  <c r="I37" i="4"/>
  <c r="N47" i="2"/>
  <c r="N34" i="16"/>
  <c r="N49" i="2"/>
  <c r="N51" i="16"/>
  <c r="N46" i="2"/>
  <c r="W34" i="16"/>
  <c r="J13" i="11"/>
  <c r="N34" i="2"/>
  <c r="J22" i="11"/>
  <c r="I10" i="4" s="1"/>
  <c r="N33" i="2"/>
  <c r="M31" i="2"/>
  <c r="M33" i="16" s="1"/>
  <c r="V33" i="16" s="1"/>
  <c r="G24" i="11"/>
  <c r="N32" i="2"/>
  <c r="S62" i="16"/>
  <c r="L44" i="17"/>
  <c r="L46" i="17"/>
  <c r="H73" i="16"/>
  <c r="W13" i="13"/>
  <c r="J21" i="11"/>
  <c r="I9" i="4" s="1"/>
  <c r="I35" i="4"/>
  <c r="N61" i="16"/>
  <c r="S49" i="17"/>
  <c r="H32" i="4"/>
  <c r="K44" i="12"/>
  <c r="K73" i="16"/>
  <c r="T73" i="16" s="1"/>
  <c r="M73" i="16"/>
  <c r="V73" i="16" s="1"/>
  <c r="K8" i="2"/>
  <c r="N8" i="2" s="1"/>
  <c r="L73" i="16"/>
  <c r="U73" i="16" s="1"/>
  <c r="N36" i="16"/>
  <c r="H15" i="2"/>
  <c r="H15" i="16" s="1"/>
  <c r="Q15" i="16" s="1"/>
  <c r="H29" i="16"/>
  <c r="Q29" i="16" s="1"/>
  <c r="X152" i="9"/>
  <c r="L16" i="2" s="1"/>
  <c r="L16" i="16" s="1"/>
  <c r="U16" i="16" s="1"/>
  <c r="M152" i="9"/>
  <c r="X141" i="9"/>
  <c r="X180" i="9" s="1"/>
  <c r="L12" i="2"/>
  <c r="L12" i="16" s="1"/>
  <c r="U12" i="16" s="1"/>
  <c r="K12" i="5"/>
  <c r="P11" i="9"/>
  <c r="P26" i="9" s="1"/>
  <c r="J48" i="16"/>
  <c r="N48" i="16" s="1"/>
  <c r="N40" i="16"/>
  <c r="X154" i="9"/>
  <c r="L20" i="3"/>
  <c r="I23" i="2"/>
  <c r="I24" i="16" s="1"/>
  <c r="R24" i="16" s="1"/>
  <c r="I23" i="16"/>
  <c r="R23" i="16" s="1"/>
  <c r="N18" i="2"/>
  <c r="F24" i="11"/>
  <c r="J35" i="16"/>
  <c r="N35" i="16" s="1"/>
  <c r="D41" i="11"/>
  <c r="J41" i="11" s="1"/>
  <c r="X12" i="1"/>
  <c r="N21" i="2"/>
  <c r="K11" i="2"/>
  <c r="K11" i="16" s="1"/>
  <c r="T11" i="16" s="1"/>
  <c r="X142" i="9"/>
  <c r="X182" i="9" s="1"/>
  <c r="L11" i="2"/>
  <c r="L11" i="16" s="1"/>
  <c r="U11" i="16" s="1"/>
  <c r="N30" i="2"/>
  <c r="P29" i="10"/>
  <c r="X139" i="9"/>
  <c r="X138" i="9"/>
  <c r="X140" i="9"/>
  <c r="X179" i="9" s="1"/>
  <c r="P95" i="9"/>
  <c r="P141" i="9" s="1"/>
  <c r="P180" i="9" s="1"/>
  <c r="M141" i="9"/>
  <c r="M180" i="9" s="1"/>
  <c r="M139" i="9"/>
  <c r="M181" i="9" s="1"/>
  <c r="N28" i="2"/>
  <c r="P109" i="9"/>
  <c r="P138" i="9" s="1"/>
  <c r="P108" i="9"/>
  <c r="P140" i="9" s="1"/>
  <c r="P179" i="9" s="1"/>
  <c r="M25" i="9"/>
  <c r="K12" i="2"/>
  <c r="K12" i="16" s="1"/>
  <c r="T12" i="16" s="1"/>
  <c r="K14" i="2"/>
  <c r="N14" i="2" s="1"/>
  <c r="P60" i="9"/>
  <c r="P43" i="9"/>
  <c r="M71" i="9"/>
  <c r="P12" i="9"/>
  <c r="P27" i="9" s="1"/>
  <c r="P21" i="9"/>
  <c r="P28" i="9" s="1"/>
  <c r="P175" i="9" s="1"/>
  <c r="M167" i="9"/>
  <c r="M166" i="9"/>
  <c r="M10" i="16"/>
  <c r="V10" i="16" s="1"/>
  <c r="N25" i="16"/>
  <c r="X169" i="9"/>
  <c r="X181" i="9" s="1"/>
  <c r="X166" i="9"/>
  <c r="M16" i="2" s="1"/>
  <c r="M16" i="16" s="1"/>
  <c r="V16" i="16" s="1"/>
  <c r="M137" i="9"/>
  <c r="W25" i="16"/>
  <c r="N24" i="2"/>
  <c r="W22" i="16"/>
  <c r="K15" i="17"/>
  <c r="L54" i="11"/>
  <c r="I15" i="4" s="1"/>
  <c r="K50" i="16"/>
  <c r="N48" i="2"/>
  <c r="P54" i="11"/>
  <c r="I17" i="4" s="1"/>
  <c r="N42" i="2"/>
  <c r="N54" i="11"/>
  <c r="I16" i="4" s="1"/>
  <c r="J54" i="11"/>
  <c r="I14" i="4" s="1"/>
  <c r="J11" i="11"/>
  <c r="K31" i="2"/>
  <c r="K33" i="16" s="1"/>
  <c r="T33" i="16" s="1"/>
  <c r="N49" i="16"/>
  <c r="W28" i="16"/>
  <c r="J63" i="16"/>
  <c r="N32" i="16"/>
  <c r="N41" i="16"/>
  <c r="N45" i="16"/>
  <c r="T42" i="16"/>
  <c r="W42" i="16" s="1"/>
  <c r="X137" i="9"/>
  <c r="K16" i="2" s="1"/>
  <c r="K16" i="16" s="1"/>
  <c r="T16" i="16" s="1"/>
  <c r="H63" i="16"/>
  <c r="Q63" i="16" s="1"/>
  <c r="Q62" i="16"/>
  <c r="N57" i="16"/>
  <c r="I36" i="4"/>
  <c r="L35" i="17"/>
  <c r="P35" i="17"/>
  <c r="S35" i="17" s="1"/>
  <c r="S52" i="17" s="1"/>
  <c r="J36" i="12"/>
  <c r="J19" i="3" s="1"/>
  <c r="G33" i="4" s="1"/>
  <c r="N28" i="16"/>
  <c r="J14" i="16"/>
  <c r="S14" i="16" s="1"/>
  <c r="J15" i="2"/>
  <c r="J15" i="16" s="1"/>
  <c r="S15" i="16" s="1"/>
  <c r="P36" i="9"/>
  <c r="I25" i="2" s="1"/>
  <c r="I26" i="16" s="1"/>
  <c r="R26" i="16" s="1"/>
  <c r="P37" i="9"/>
  <c r="K17" i="16"/>
  <c r="N17" i="2"/>
  <c r="J12" i="16"/>
  <c r="S12" i="16" s="1"/>
  <c r="J13" i="2"/>
  <c r="J13" i="16" s="1"/>
  <c r="S13" i="16" s="1"/>
  <c r="X71" i="9"/>
  <c r="X25" i="9"/>
  <c r="X14" i="1"/>
  <c r="P131" i="9"/>
  <c r="P142" i="9" s="1"/>
  <c r="P182" i="9" s="1"/>
  <c r="M153" i="9"/>
  <c r="P146" i="9"/>
  <c r="N74" i="2"/>
  <c r="H10" i="16"/>
  <c r="Q10" i="16" s="1"/>
  <c r="H11" i="2"/>
  <c r="H11" i="16" s="1"/>
  <c r="Q11" i="16" s="1"/>
  <c r="M12" i="16"/>
  <c r="V12" i="16" s="1"/>
  <c r="M13" i="2"/>
  <c r="M13" i="16" s="1"/>
  <c r="V13" i="16" s="1"/>
  <c r="J26" i="17"/>
  <c r="Q26" i="17" s="1"/>
  <c r="G31" i="4"/>
  <c r="H23" i="2"/>
  <c r="H24" i="16" s="1"/>
  <c r="Q24" i="16" s="1"/>
  <c r="H25" i="2"/>
  <c r="H26" i="16" s="1"/>
  <c r="Q26" i="16" s="1"/>
  <c r="H23" i="16"/>
  <c r="Q23" i="16" s="1"/>
  <c r="K23" i="16"/>
  <c r="T23" i="16" s="1"/>
  <c r="K23" i="2"/>
  <c r="K24" i="16" s="1"/>
  <c r="T24" i="16" s="1"/>
  <c r="M23" i="2"/>
  <c r="M24" i="16" s="1"/>
  <c r="V24" i="16" s="1"/>
  <c r="M23" i="16"/>
  <c r="V23" i="16" s="1"/>
  <c r="I15" i="2"/>
  <c r="I14" i="16"/>
  <c r="J20" i="11"/>
  <c r="D24" i="11"/>
  <c r="H31" i="2"/>
  <c r="N59" i="2"/>
  <c r="I27" i="4"/>
  <c r="J24" i="17"/>
  <c r="Q24" i="17" s="1"/>
  <c r="I44" i="12"/>
  <c r="W38" i="16"/>
  <c r="N38" i="16"/>
  <c r="J10" i="2"/>
  <c r="V47" i="16"/>
  <c r="N47" i="16"/>
  <c r="N26" i="2"/>
  <c r="H27" i="16"/>
  <c r="N27" i="2"/>
  <c r="X37" i="9"/>
  <c r="X173" i="9" s="1"/>
  <c r="X36" i="9"/>
  <c r="I16" i="2" s="1"/>
  <c r="J13" i="3"/>
  <c r="J14" i="17" s="1"/>
  <c r="Q14" i="17" s="1"/>
  <c r="J23" i="2"/>
  <c r="J24" i="16" s="1"/>
  <c r="S24" i="16" s="1"/>
  <c r="J25" i="2"/>
  <c r="J26" i="16" s="1"/>
  <c r="S26" i="16" s="1"/>
  <c r="J23" i="16"/>
  <c r="S23" i="16" s="1"/>
  <c r="Q44" i="16"/>
  <c r="W44" i="16" s="1"/>
  <c r="N44" i="16"/>
  <c r="L23" i="16"/>
  <c r="U23" i="16" s="1"/>
  <c r="L23" i="2"/>
  <c r="L24" i="16" s="1"/>
  <c r="U24" i="16" s="1"/>
  <c r="S23" i="17"/>
  <c r="H22" i="17"/>
  <c r="H14" i="17"/>
  <c r="H8" i="17"/>
  <c r="F32" i="4"/>
  <c r="J8" i="17"/>
  <c r="H10" i="3"/>
  <c r="H10" i="17" s="1"/>
  <c r="O10" i="17" s="1"/>
  <c r="G19" i="12"/>
  <c r="H24" i="3" s="1"/>
  <c r="H26" i="17" s="1"/>
  <c r="O26" i="17" s="1"/>
  <c r="F33" i="4"/>
  <c r="L23" i="17"/>
  <c r="F34" i="4"/>
  <c r="I34" i="4" s="1"/>
  <c r="H33" i="4"/>
  <c r="K21" i="17"/>
  <c r="R21" i="17" s="1"/>
  <c r="L19" i="3"/>
  <c r="T22" i="1"/>
  <c r="X22" i="1" s="1"/>
  <c r="E44" i="12"/>
  <c r="H24" i="17"/>
  <c r="O24" i="17" s="1"/>
  <c r="L22" i="3"/>
  <c r="L23" i="3"/>
  <c r="L21" i="3"/>
  <c r="L25" i="17"/>
  <c r="L11" i="3"/>
  <c r="H11" i="17"/>
  <c r="O11" i="17" s="1"/>
  <c r="S25" i="17"/>
  <c r="N58" i="16"/>
  <c r="Q58" i="16"/>
  <c r="N29" i="16" l="1"/>
  <c r="W29" i="16" s="1"/>
  <c r="P174" i="9"/>
  <c r="M172" i="9"/>
  <c r="X172" i="9"/>
  <c r="M177" i="9"/>
  <c r="P173" i="9"/>
  <c r="N73" i="16"/>
  <c r="K8" i="16"/>
  <c r="T8" i="16" s="1"/>
  <c r="W8" i="16" s="1"/>
  <c r="S48" i="16"/>
  <c r="S63" i="16"/>
  <c r="I32" i="4"/>
  <c r="Q73" i="16"/>
  <c r="W73" i="16" s="1"/>
  <c r="W77" i="16" s="1"/>
  <c r="K9" i="2"/>
  <c r="N9" i="2" s="1"/>
  <c r="J21" i="17"/>
  <c r="Q21" i="17" s="1"/>
  <c r="S21" i="17" s="1"/>
  <c r="J44" i="12"/>
  <c r="C53" i="11"/>
  <c r="C54" i="11" s="1"/>
  <c r="L13" i="2"/>
  <c r="L13" i="16" s="1"/>
  <c r="U13" i="16" s="1"/>
  <c r="O14" i="17"/>
  <c r="S14" i="17" s="1"/>
  <c r="S26" i="17"/>
  <c r="L8" i="17"/>
  <c r="J16" i="2"/>
  <c r="J16" i="16" s="1"/>
  <c r="S16" i="16" s="1"/>
  <c r="N12" i="2"/>
  <c r="S35" i="16"/>
  <c r="W35" i="16" s="1"/>
  <c r="Q18" i="16"/>
  <c r="W18" i="16" s="1"/>
  <c r="N18" i="16"/>
  <c r="K13" i="2"/>
  <c r="K13" i="16" s="1"/>
  <c r="T13" i="16" s="1"/>
  <c r="N46" i="16"/>
  <c r="P25" i="9"/>
  <c r="P71" i="9"/>
  <c r="N22" i="16"/>
  <c r="K14" i="16"/>
  <c r="T14" i="16" s="1"/>
  <c r="K15" i="2"/>
  <c r="K15" i="16" s="1"/>
  <c r="T15" i="16" s="1"/>
  <c r="H16" i="2"/>
  <c r="H16" i="16" s="1"/>
  <c r="Q16" i="16" s="1"/>
  <c r="N10" i="2"/>
  <c r="L14" i="3"/>
  <c r="R15" i="17"/>
  <c r="S15" i="17" s="1"/>
  <c r="L15" i="17"/>
  <c r="N50" i="16"/>
  <c r="T50" i="16"/>
  <c r="W12" i="16"/>
  <c r="N12" i="16"/>
  <c r="L13" i="3"/>
  <c r="I33" i="4"/>
  <c r="P152" i="9"/>
  <c r="L25" i="2" s="1"/>
  <c r="L26" i="16" s="1"/>
  <c r="U26" i="16" s="1"/>
  <c r="P153" i="9"/>
  <c r="P177" i="9" s="1"/>
  <c r="T17" i="16"/>
  <c r="W17" i="16" s="1"/>
  <c r="N17" i="16"/>
  <c r="W23" i="16"/>
  <c r="N22" i="2"/>
  <c r="P137" i="9"/>
  <c r="K25" i="2" s="1"/>
  <c r="K26" i="16" s="1"/>
  <c r="T26" i="16" s="1"/>
  <c r="S24" i="17"/>
  <c r="J24" i="11"/>
  <c r="I8" i="4"/>
  <c r="I15" i="16"/>
  <c r="R15" i="16" s="1"/>
  <c r="R14" i="16"/>
  <c r="I16" i="16"/>
  <c r="Q27" i="16"/>
  <c r="W27" i="16" s="1"/>
  <c r="N27" i="16"/>
  <c r="J11" i="2"/>
  <c r="J11" i="16" s="1"/>
  <c r="S11" i="16" s="1"/>
  <c r="J10" i="16"/>
  <c r="S10" i="16" s="1"/>
  <c r="N31" i="2"/>
  <c r="H33" i="16"/>
  <c r="L10" i="3"/>
  <c r="L14" i="17"/>
  <c r="O22" i="17"/>
  <c r="S22" i="17" s="1"/>
  <c r="L22" i="17"/>
  <c r="L26" i="17"/>
  <c r="L24" i="3"/>
  <c r="F31" i="4"/>
  <c r="I31" i="4" s="1"/>
  <c r="G44" i="12"/>
  <c r="L24" i="17"/>
  <c r="L21" i="17"/>
  <c r="S10" i="17"/>
  <c r="L10" i="17"/>
  <c r="S11" i="17"/>
  <c r="L11" i="17"/>
  <c r="P172" i="9" l="1"/>
  <c r="N8" i="16"/>
  <c r="K9" i="16"/>
  <c r="S12" i="17"/>
  <c r="F53" i="11"/>
  <c r="F54" i="11" s="1"/>
  <c r="I12" i="4" s="1"/>
  <c r="H53" i="11"/>
  <c r="H54" i="11" s="1"/>
  <c r="I13" i="4" s="1"/>
  <c r="N13" i="16"/>
  <c r="S19" i="17"/>
  <c r="W13" i="16"/>
  <c r="S27" i="17"/>
  <c r="N13" i="2"/>
  <c r="W14" i="16"/>
  <c r="N14" i="16"/>
  <c r="N15" i="2"/>
  <c r="N9" i="16"/>
  <c r="T9" i="16"/>
  <c r="W9" i="16" s="1"/>
  <c r="N16" i="2"/>
  <c r="W24" i="16"/>
  <c r="N23" i="2"/>
  <c r="N11" i="2"/>
  <c r="N26" i="16"/>
  <c r="N24" i="16"/>
  <c r="W26" i="16"/>
  <c r="N23" i="16"/>
  <c r="N25" i="2"/>
  <c r="W10" i="16"/>
  <c r="W11" i="16"/>
  <c r="N11" i="16"/>
  <c r="Q33" i="16"/>
  <c r="W33" i="16" s="1"/>
  <c r="W53" i="16" s="1"/>
  <c r="N33" i="16"/>
  <c r="W15" i="16"/>
  <c r="N15" i="16"/>
  <c r="R16" i="16"/>
  <c r="W16" i="16" s="1"/>
  <c r="N16" i="16"/>
  <c r="N10" i="16"/>
  <c r="S56" i="17" l="1"/>
  <c r="W20" i="16"/>
  <c r="W78" i="16" l="1"/>
  <c r="W79" i="16" l="1"/>
  <c r="W80" i="16" s="1"/>
  <c r="S59" i="17"/>
</calcChain>
</file>

<file path=xl/sharedStrings.xml><?xml version="1.0" encoding="utf-8"?>
<sst xmlns="http://schemas.openxmlformats.org/spreadsheetml/2006/main" count="2343" uniqueCount="904">
  <si>
    <t>Tabel 1. Ehitatud või rekonstrueeritud maaparandusehitiste tehnilised andmed</t>
  </si>
  <si>
    <t>Maaparandussüsteemi kood</t>
  </si>
  <si>
    <t>Kokku</t>
  </si>
  <si>
    <t>Maaparandusehitise nimetus</t>
  </si>
  <si>
    <t>Maaparandusehitise kood</t>
  </si>
  <si>
    <t>001</t>
  </si>
  <si>
    <t>101</t>
  </si>
  <si>
    <t>Maaparandusehitise lühitähis</t>
  </si>
  <si>
    <t>EH 1</t>
  </si>
  <si>
    <t>EH 2</t>
  </si>
  <si>
    <t>Tehniliste andmete nimetus</t>
  </si>
  <si>
    <t>Mõõtühik</t>
  </si>
  <si>
    <t>Uue ehitise või lisanduva osa andmed</t>
  </si>
  <si>
    <t>Likvi. osa andmed</t>
  </si>
  <si>
    <t>Rek. osa andmed</t>
  </si>
  <si>
    <t>1. Maaparandussüsteemi maa-ala andmed maaparandusehitise piires</t>
  </si>
  <si>
    <t>Metsamaal paikneva kuivendussüsteemi maa-ala pindala</t>
  </si>
  <si>
    <t>ha</t>
  </si>
  <si>
    <t>2. Eesvoolude ja kuivenduskraavide ning neil paiknevate rajatiste andmed</t>
  </si>
  <si>
    <t>Eesvoolu pikkus</t>
  </si>
  <si>
    <t>km</t>
  </si>
  <si>
    <t>sh kollektoreesvoolu pikkus</t>
  </si>
  <si>
    <t>Kuivenduskraavi pikkus</t>
  </si>
  <si>
    <t>Sildade arv</t>
  </si>
  <si>
    <t>tk</t>
  </si>
  <si>
    <t>Truupide arv</t>
  </si>
  <si>
    <t>Purrete arv</t>
  </si>
  <si>
    <t>3. Maaparandusehitisi teenindava tee andmed</t>
  </si>
  <si>
    <t>Tee nimetus</t>
  </si>
  <si>
    <t>Tee järk</t>
  </si>
  <si>
    <t>Tee number teeregistris</t>
  </si>
  <si>
    <t>Tee pikkus</t>
  </si>
  <si>
    <t>Teekraavi pikkus</t>
  </si>
  <si>
    <t>Sõiduki mahasõidukohtade arv</t>
  </si>
  <si>
    <t>Sõiduki möödasõidukohtade arv</t>
  </si>
  <si>
    <t>Sõiduki tagasipööramiskohtade arv</t>
  </si>
  <si>
    <t>Teetruupide arv</t>
  </si>
  <si>
    <t>4. Keskkonnakaitserajatiste andmed</t>
  </si>
  <si>
    <t>Settebasseinide arv</t>
  </si>
  <si>
    <t>Tuletõrjetiikide arv</t>
  </si>
  <si>
    <t>Tabel 2a. Kuivendussüsteemi rekonstrueerimise- ja ehitustööde koondmahud</t>
  </si>
  <si>
    <t>Jrk. nr</t>
  </si>
  <si>
    <t>Ehitustöö kirjeldus</t>
  </si>
  <si>
    <t>Maht</t>
  </si>
  <si>
    <t>sealhulgas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</si>
  <si>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</si>
  <si>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</si>
  <si>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</si>
  <si>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</si>
  <si>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</si>
  <si>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</si>
  <si>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</si>
  <si>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</si>
  <si>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</si>
  <si>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I.Ettevalmistustööd</t>
  </si>
  <si>
    <t>Kõrge võsa raie (KV)</t>
  </si>
  <si>
    <t>Kõrge võsa vedu 600 m (KV)</t>
  </si>
  <si>
    <t>Puittaimestiku raie, peenpuistu  (PP)</t>
  </si>
  <si>
    <t>Tüveste vedu 600 m, peenpuistu (PP)</t>
  </si>
  <si>
    <t>Puittaimestiku raie, jämepuistu (JP)</t>
  </si>
  <si>
    <t>Tüveste vedu, jämepuistu (JP)</t>
  </si>
  <si>
    <t>Tee- ja kraavitrassi ning teerajatiste alune kändude juurimine ekskavaatoriga</t>
  </si>
  <si>
    <t>Lamapuidu eemaldamine kraavist</t>
  </si>
  <si>
    <r>
      <t>m</t>
    </r>
    <r>
      <rPr>
        <vertAlign val="superscript"/>
        <sz val="10"/>
        <color indexed="8"/>
        <rFont val="Arial"/>
        <family val="2"/>
      </rPr>
      <t>3</t>
    </r>
  </si>
  <si>
    <t>Voolutakistuste eemaldamine kraavist</t>
  </si>
  <si>
    <t>m</t>
  </si>
  <si>
    <t>Koprapaisude likvideerimine</t>
  </si>
  <si>
    <t>II.Veejuhtmete tööd</t>
  </si>
  <si>
    <t>Uute kraavide ja nõvade mahamärkimine</t>
  </si>
  <si>
    <t>Kraavide kaevamine ja setetest puhastamine, I-II gr. Pinnas</t>
  </si>
  <si>
    <t>Ekspluatatsioonieelne sette eemaldamine ekskavaatoriga (10% põhikaevest)</t>
  </si>
  <si>
    <t>Olemasoleva tee tasandamisjärgne teekraavide täiendav puhastamine varisenud pinnasest</t>
  </si>
  <si>
    <t>Kaeve laialiajamine (60% kaevest)</t>
  </si>
  <si>
    <t>Mullete töötlemine (vanad vallid, rööpad)</t>
  </si>
  <si>
    <t>Di=30 cm plasttorust veeviimari paigaldamine mullavalli alla, L= 8 m</t>
  </si>
  <si>
    <t>III.Truupide rekonstrueerimine ja ehitamine</t>
  </si>
  <si>
    <t>Truupide mahamärkimine</t>
  </si>
  <si>
    <t>Di=50 cm plasttruubi torustiku, tüüp 50PT, ehitamine (profileeritud plasttoru, SN8)</t>
  </si>
  <si>
    <t>Di=60 cm plasttruubi torustiku, tüüp 60PT, ehitamine (profileeritud plasttoru, SN8)</t>
  </si>
  <si>
    <t>Di=100 cm plasttruubi torustiku, tüüp 100PT, ehitamine (profileeritud plasttoru, SN8)</t>
  </si>
  <si>
    <t xml:space="preserve">Ø 50 cm plasttruubi mattotsaku ehitamine (tüüp MAO) </t>
  </si>
  <si>
    <t>2 otsakut</t>
  </si>
  <si>
    <t xml:space="preserve">Ø 60 cm plasttruubi mattotsaku kivikindlustusega ehitamine (tüüp MAOK) </t>
  </si>
  <si>
    <t xml:space="preserve">Ø 100 cm plasttruubi kiviotsaku kivikindlustusega ehitamine (tüüp KOK) </t>
  </si>
  <si>
    <t>Veejuhtme täide mineraalpinnasega</t>
  </si>
  <si>
    <t>Kruus teekatte taastamiseks</t>
  </si>
  <si>
    <t>Tähispostid truubile</t>
  </si>
  <si>
    <t>Truubi otsakute lammutamine ja utiliseerimine</t>
  </si>
  <si>
    <t>IV.Keskkonnarajatiste rekonstrueerimine/ehitamine</t>
  </si>
  <si>
    <t>Settebasseini mahamärkimine</t>
  </si>
  <si>
    <t>Settebasseini kaevamine, I-II gr. Pinnas</t>
  </si>
  <si>
    <t>Sette eemaldamine settebasseinist pärast kraavide valmimist, 2 korda</t>
  </si>
  <si>
    <t>Geotekstiilil (NGS2) kiviprisma ehitamine settebasseini</t>
  </si>
  <si>
    <t>sh geotekstiil NGS2</t>
  </si>
  <si>
    <r>
      <t>m</t>
    </r>
    <r>
      <rPr>
        <vertAlign val="superscript"/>
        <sz val="10"/>
        <color indexed="8"/>
        <rFont val="Arial"/>
        <family val="2"/>
      </rPr>
      <t>2</t>
    </r>
  </si>
  <si>
    <r>
      <t xml:space="preserve">sh kivi </t>
    </r>
    <r>
      <rPr>
        <sz val="10"/>
        <color indexed="8"/>
        <rFont val="Calibri"/>
        <family val="2"/>
      </rPr>
      <t>Ø</t>
    </r>
    <r>
      <rPr>
        <i/>
        <sz val="10"/>
        <color indexed="8"/>
        <rFont val="Arial"/>
        <family val="2"/>
      </rPr>
      <t xml:space="preserve"> 15-30 cm</t>
    </r>
  </si>
  <si>
    <t>kg</t>
  </si>
  <si>
    <t>V.Muud tööd</t>
  </si>
  <si>
    <t>Nõuetekohase teostusmõõdistuse koostamine</t>
  </si>
  <si>
    <t>töö</t>
  </si>
  <si>
    <t>Märkused</t>
  </si>
  <si>
    <t>Tabelisse märgitud andmed on esitatud näiteks ning ei ole seotud eelnevate/järgnevate näidiskoosseisu tabelitega</t>
  </si>
  <si>
    <t>Tabel 2B. Teede rekonstrueerimise- ja ehitustööde koondmahud</t>
  </si>
  <si>
    <t>Rekonstrueeritava/ehitatava tee koondpikkus</t>
  </si>
  <si>
    <t>Tee parameetrite ja -elementide mahamärkimine (telg, servad, kraavide siseservad)</t>
  </si>
  <si>
    <t>Tee rajatiste mahamärkimine</t>
  </si>
  <si>
    <t>II.Mullatööd / teemulde kujundamine</t>
  </si>
  <si>
    <t>Olemasoleva teemulde töötlemine profiili koos teekraede likvideerimisega ning mulde tihendamisega</t>
  </si>
  <si>
    <t>III.Kattekonstruktsiooni rajamine</t>
  </si>
  <si>
    <t>Geotekstiili 4. profiil (NGS 4), mitte kootud kangas, laisuega 5,0 m, paigaldamine tihendatud ja profileeritud muldkehale</t>
  </si>
  <si>
    <t>sh kruus fr 0/63 mm (Pos 3), geomeetriline maht koos hanke, pealelaadimise ja veoga</t>
  </si>
  <si>
    <t>Kruusast teekatte ehitamine koos tihendamisega. Kruus fr 0/32 mm. Pos 6, H=10 cm</t>
  </si>
  <si>
    <t>sh kruus fr 0/32 mm (Pos 6), geomeetriline maht koos hanke, pealelaadimise ja veoga</t>
  </si>
  <si>
    <t>IV.Teede rajatised</t>
  </si>
  <si>
    <t>Mahasõidukoht M3 muldkeha ja katendi ehitamine koos tihendamisega  (L=10 m, R=10 m)</t>
  </si>
  <si>
    <t>sh kruus fr 0/63 mm (Pos 3), geomeetriline maht koos hanke, pealelaadimise ja veoga, H=40cm</t>
  </si>
  <si>
    <t>Teede T-kujulise ristmiku R-T muldkeha ja katendi ehitamine koos tihendamisega</t>
  </si>
  <si>
    <t>sh kruus fr 0/63 mm (Pos 3), geomeetriline maht koos hanke, pealelaadimise ja veoga, H=30cm</t>
  </si>
  <si>
    <t>sh kruus fr 0/32 mm (Pos 6), geomeetriline maht koos hanke, pealelaadimise ja veoga, H=10cm</t>
  </si>
  <si>
    <t>Liiklusmärk nr 221 "Anna teed" paigaldamine</t>
  </si>
  <si>
    <t>IV. Muud tööd</t>
  </si>
  <si>
    <t>Tabel 3. Vajalike ehitusmaterjalide ja -toodete andmed</t>
  </si>
  <si>
    <t>Ehitusmaterjali või -toote nimetus</t>
  </si>
  <si>
    <t>Kogus</t>
  </si>
  <si>
    <t>Truupide torustikud ja otsakud, veeviimarid ja kindlustised</t>
  </si>
  <si>
    <t>Ø 30 cm profileeritud plasttoru, SN8</t>
  </si>
  <si>
    <t>Kivid Ø 15-30 cm</t>
  </si>
  <si>
    <t>Geotekstiil, 2 profiil (NGS 2)</t>
  </si>
  <si>
    <t>Huumusmuld</t>
  </si>
  <si>
    <t>Erosioonitõkkematt, džuudikiust võrguga</t>
  </si>
  <si>
    <t>Heinaseeme</t>
  </si>
  <si>
    <t>Puuvaiad</t>
  </si>
  <si>
    <t>Täitepinnas veejuhtme täitmiseks, mineraalpinnas</t>
  </si>
  <si>
    <t>Tähispostid truupidele</t>
  </si>
  <si>
    <t>Purustatud kruus teekatte taastamiseks, pos 6</t>
  </si>
  <si>
    <t>tm</t>
  </si>
  <si>
    <t>….</t>
  </si>
  <si>
    <t>…</t>
  </si>
  <si>
    <t>Muud</t>
  </si>
  <si>
    <t>Teede ja teede rajatiste materjalid</t>
  </si>
  <si>
    <t>Toote või materjali nimetus</t>
  </si>
  <si>
    <t>Kogus kokku</t>
  </si>
  <si>
    <t>Kruus fr 0/32 (pos 6)</t>
  </si>
  <si>
    <t>Kruus fr 0/63 mm (pos 3)</t>
  </si>
  <si>
    <t>Geotekstiil, 4 profiil (NGS 4), mitte kootud, laius 5,0 m</t>
  </si>
  <si>
    <t>Geokomposiit 50/50, laius 5.0 m</t>
  </si>
  <si>
    <t>Liiklusmärk nr 221 "Anna teed" komplekt</t>
  </si>
  <si>
    <t>Märkused:</t>
  </si>
  <si>
    <t>Tabel 4. Rekonstrueeritavate maaparandusehitiste üldandmed</t>
  </si>
  <si>
    <t>Ehitise lühi-tähis</t>
  </si>
  <si>
    <t>Maaparandus-süsteemi kood</t>
  </si>
  <si>
    <t>Maaparandusehitise</t>
  </si>
  <si>
    <t>kood</t>
  </si>
  <si>
    <t>nimetus</t>
  </si>
  <si>
    <t>rek pindala (ha)</t>
  </si>
  <si>
    <t>rek tee (km)</t>
  </si>
  <si>
    <t>uuendatav tee (km)</t>
  </si>
  <si>
    <t>ehitatav tee (km)</t>
  </si>
  <si>
    <t>rek eesvool (km)</t>
  </si>
  <si>
    <t>EH1</t>
  </si>
  <si>
    <t>EH4</t>
  </si>
  <si>
    <t>Kokku:</t>
  </si>
  <si>
    <t>Tabel 5. Uurimistööde loetelu</t>
  </si>
  <si>
    <t>Uurimistöö</t>
  </si>
  <si>
    <t>kokku</t>
  </si>
  <si>
    <t>Tabel 6. Reeperite loetelu</t>
  </si>
  <si>
    <t>Reeperi</t>
  </si>
  <si>
    <t>number</t>
  </si>
  <si>
    <t>klass</t>
  </si>
  <si>
    <t>kirjeldus</t>
  </si>
  <si>
    <t>asukoha</t>
  </si>
  <si>
    <t>kõrgusarv m</t>
  </si>
  <si>
    <t>koordinaadid</t>
  </si>
  <si>
    <t>x</t>
  </si>
  <si>
    <t>y</t>
  </si>
  <si>
    <t>tehniline</t>
  </si>
  <si>
    <t>nael</t>
  </si>
  <si>
    <t>Tabel 7. Teede rajatised</t>
  </si>
  <si>
    <t>Tee rajatis</t>
  </si>
  <si>
    <t>M1 - mahasõidukoht (L=20, R=10 m)</t>
  </si>
  <si>
    <t>M2 - mahasõidukoht (L=30, R=10 m)</t>
  </si>
  <si>
    <t>M3 - mahasõidukoht (A=4,5 m, R=10 m)</t>
  </si>
  <si>
    <t>M4 - mahasõidukoht (A=6 m, R=10 m)</t>
  </si>
  <si>
    <t>MM - maantee mahasõidukoht</t>
  </si>
  <si>
    <t>MS - möödasõidukoht</t>
  </si>
  <si>
    <t>R-T- teede T-kujuline ristmik</t>
  </si>
  <si>
    <t>R - teede nelikristmik</t>
  </si>
  <si>
    <t>TP-T - T-kujuline tagasipööramise koht</t>
  </si>
  <si>
    <t>TP-R - ringikujuline tagasipööramise koht</t>
  </si>
  <si>
    <t>TP-S - silmusekujuline tagasipööramise koht</t>
  </si>
  <si>
    <t>Tabel 8. Kultuurtehniliste tööde ja veejuhtme kaevetööde mahud</t>
  </si>
  <si>
    <t>Veejuhtme</t>
  </si>
  <si>
    <t>Keskmine</t>
  </si>
  <si>
    <t>Kaevemaht m3</t>
  </si>
  <si>
    <r>
      <t>Pinnasevalli laialiajamine m</t>
    </r>
    <r>
      <rPr>
        <vertAlign val="superscript"/>
        <sz val="10"/>
        <color indexed="8"/>
        <rFont val="Arial"/>
        <family val="2"/>
      </rPr>
      <t>3</t>
    </r>
  </si>
  <si>
    <t>Pinnase paigalda-mine tee-muldesse</t>
  </si>
  <si>
    <t>Puittaimestiku raie ha</t>
  </si>
  <si>
    <t>Kändude</t>
  </si>
  <si>
    <t>Kopra-paisu likvideeri-mine</t>
  </si>
  <si>
    <t>Muu voolutakistuse likvideerimine</t>
  </si>
  <si>
    <t>Lama-puit</t>
  </si>
  <si>
    <t>Vee-viimari rajamine</t>
  </si>
  <si>
    <t>Nimetus</t>
  </si>
  <si>
    <t>Ehitise lühitähis</t>
  </si>
  <si>
    <t>Kvartali nr</t>
  </si>
  <si>
    <t>Liigi tähis</t>
  </si>
  <si>
    <t>Pikkus</t>
  </si>
  <si>
    <t>Põhja laius</t>
  </si>
  <si>
    <t>Nõlvus-tegur</t>
  </si>
  <si>
    <t>Sügavus</t>
  </si>
  <si>
    <t>Kaeve ristlõige</t>
  </si>
  <si>
    <t>Ekskavaatoriga</t>
  </si>
  <si>
    <t>Käsitsi</t>
  </si>
  <si>
    <t>Täiendav kaeve</t>
  </si>
  <si>
    <t>Võsa Ø=2-8 cm</t>
  </si>
  <si>
    <t>Puistu</t>
  </si>
  <si>
    <t>Üksikute puudega maa-ala</t>
  </si>
  <si>
    <t>Juurimine</t>
  </si>
  <si>
    <t>Ära vedamine</t>
  </si>
  <si>
    <t>Sh pinnasegrupp</t>
  </si>
  <si>
    <t>I-II</t>
  </si>
  <si>
    <t>III</t>
  </si>
  <si>
    <t>Kaevest</t>
  </si>
  <si>
    <t>Vana pinnase-vall</t>
  </si>
  <si>
    <t>Madal       h ≤ 3m (MV)</t>
  </si>
  <si>
    <t xml:space="preserve">Kõrge       h ≥ 3m    (KV) </t>
  </si>
  <si>
    <t>Peen      Ø=8-15cm          (PP)</t>
  </si>
  <si>
    <t>Jäme Ø=15+cm     (JP)</t>
  </si>
  <si>
    <t>m2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</si>
  <si>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</si>
  <si>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</si>
  <si>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</si>
  <si>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</si>
  <si>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</si>
  <si>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</si>
  <si>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</si>
  <si>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</si>
  <si>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</si>
  <si>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</si>
  <si>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</si>
  <si>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</si>
  <si>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</si>
  <si>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</si>
  <si>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</si>
  <si>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</si>
  <si>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</si>
  <si>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</si>
  <si>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</si>
  <si>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</si>
  <si>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</si>
  <si>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RE</t>
  </si>
  <si>
    <t>RT</t>
  </si>
  <si>
    <t>ET</t>
  </si>
  <si>
    <t>RK</t>
  </si>
  <si>
    <t>kõik kokku</t>
  </si>
  <si>
    <t>HK</t>
  </si>
  <si>
    <t>Kõik kokku</t>
  </si>
  <si>
    <t>Tabel 9. Rekonstrueeritavate, ehitatavate, uuendatavate ja likvideeritavate truupide tööde mahud</t>
  </si>
  <si>
    <t>Tabel 9A. Rekonstrueeritavad truubid</t>
  </si>
  <si>
    <t>Truubi / Purde
nr</t>
  </si>
  <si>
    <t>Projekteerimisnormide kohane arvutuslik</t>
  </si>
  <si>
    <t>Proj. truubi / purde andmed</t>
  </si>
  <si>
    <t xml:space="preserve">Olemasoleva truubi andmed </t>
  </si>
  <si>
    <t xml:space="preserve">Valgala        </t>
  </si>
  <si>
    <t xml:space="preserve">Asukoht pk.nr/ kaugus kr. suudmest     </t>
  </si>
  <si>
    <t>Katte/ mulde laius</t>
  </si>
  <si>
    <t>Katte/mulde kõrgusarv</t>
  </si>
  <si>
    <t>Põhja kõrgusarv sv</t>
  </si>
  <si>
    <t xml:space="preserve">Sügavus teepinnast/muldest   </t>
  </si>
  <si>
    <t>Tähis</t>
  </si>
  <si>
    <t>Teekatte taastamine kruus</t>
  </si>
  <si>
    <t>Veejuhtme täide (min. pinnas)</t>
  </si>
  <si>
    <t>Tähis-   post</t>
  </si>
  <si>
    <t>Puitaluse ehitamine</t>
  </si>
  <si>
    <t>Otsaku lammutus</t>
  </si>
  <si>
    <t>Lisakaeve vana truubi eemalda-miseks</t>
  </si>
  <si>
    <t>Äravoolu-moodul</t>
  </si>
  <si>
    <t>Vooluhulk</t>
  </si>
  <si>
    <t>km²</t>
  </si>
  <si>
    <r>
      <t>l/s km</t>
    </r>
    <r>
      <rPr>
        <vertAlign val="superscript"/>
        <sz val="10"/>
        <rFont val="Arial"/>
        <family val="2"/>
      </rPr>
      <t>2</t>
    </r>
  </si>
  <si>
    <t>l/s</t>
  </si>
  <si>
    <t>m abs</t>
  </si>
  <si>
    <t>m³</t>
  </si>
  <si>
    <t>cm</t>
  </si>
  <si>
    <t>PT</t>
  </si>
  <si>
    <t>MAOK</t>
  </si>
  <si>
    <t>50BT8-</t>
  </si>
  <si>
    <t>KOK</t>
  </si>
  <si>
    <t>MAO</t>
  </si>
  <si>
    <t>Tabel 9B. Ehitatavad truubid</t>
  </si>
  <si>
    <t>Olemasoleva truubi andmed</t>
  </si>
  <si>
    <t>Veejuhtme nimetus</t>
  </si>
  <si>
    <t>Tabel 9E. Olemasolevasse seisukorda jäetavad truubid (vajadusel)</t>
  </si>
  <si>
    <t>Rekonstrueeritavad truubid</t>
  </si>
  <si>
    <t>Ehitatavad truubid</t>
  </si>
  <si>
    <t>Tabel 10. Truupide/veeviimarite/purrete koguste ja ehitusmaterjalide kogused</t>
  </si>
  <si>
    <t>Väljatõstetavad torud, otsakud (otsakute lammutus)</t>
  </si>
  <si>
    <t>otsakute lammutus (r/b)</t>
  </si>
  <si>
    <t>Truupide kogused</t>
  </si>
  <si>
    <t>Projekteeritud truupide kogupikkused</t>
  </si>
  <si>
    <t>plasttruup Ø50 cm, tüüp 50PT, SN8</t>
  </si>
  <si>
    <t>plasttruup Ø60 cm, tüüp 60PT, SN8</t>
  </si>
  <si>
    <t>plasttruup Ø100 cm, tüüp 100PT, SN8</t>
  </si>
  <si>
    <t>Truubi otsakud</t>
  </si>
  <si>
    <t>Ø50 MAO. Truubi mattotsak</t>
  </si>
  <si>
    <t>Ø60 MAOK. Truubi mattotsak kivikindlustusega</t>
  </si>
  <si>
    <t>Ø100 KOK. Truubi kiviotsak kivikindlustusega</t>
  </si>
  <si>
    <t>Muud mahud</t>
  </si>
  <si>
    <t>Tähispost</t>
  </si>
  <si>
    <t>Teekatte taastamine (kruus)</t>
  </si>
  <si>
    <t>Veejuhtme täitmine (min. pinnas)</t>
  </si>
  <si>
    <t>Veeviimarid</t>
  </si>
  <si>
    <t>plasttoru Ø30 cm, L= 8 m</t>
  </si>
  <si>
    <t>Materjali kulu otsakutele ja veeviimaritele</t>
  </si>
  <si>
    <t>Truubi otsaku</t>
  </si>
  <si>
    <t>truupide</t>
  </si>
  <si>
    <t>kivid Ø15-30 cm</t>
  </si>
  <si>
    <t>huumusmuld</t>
  </si>
  <si>
    <t>erosioonitõkkematt</t>
  </si>
  <si>
    <t>heinaseeme</t>
  </si>
  <si>
    <t>puuvaiad</t>
  </si>
  <si>
    <t>tüüp</t>
  </si>
  <si>
    <t>arv (tk)</t>
  </si>
  <si>
    <t>m³/tk</t>
  </si>
  <si>
    <t>m²/tk</t>
  </si>
  <si>
    <t>m²</t>
  </si>
  <si>
    <t>kg/tk</t>
  </si>
  <si>
    <t>tk/tk</t>
  </si>
  <si>
    <t>Ø40MAO</t>
  </si>
  <si>
    <t>Ø50MAO</t>
  </si>
  <si>
    <t>Ø40MAOK</t>
  </si>
  <si>
    <t>Ø60MAOK</t>
  </si>
  <si>
    <t>Ø40KOK</t>
  </si>
  <si>
    <t>Ø100KOK</t>
  </si>
  <si>
    <t>Veeviimar VV-300</t>
  </si>
  <si>
    <t>Tabel 11. Rekonstrueeritavate ja ehitatavate teede katendite mahud ristprofiilide lõikes</t>
  </si>
  <si>
    <t xml:space="preserve">Tee lõikude parameetrid                                                      </t>
  </si>
  <si>
    <t>Ristprofiili number</t>
  </si>
  <si>
    <t>Piketivahemik</t>
  </si>
  <si>
    <t>Lõigu pikkus       m</t>
  </si>
  <si>
    <t>Kruus fr 0-32 mm,    Pos 6</t>
  </si>
  <si>
    <r>
      <t xml:space="preserve">Kruus fr 0-63 mm,                </t>
    </r>
    <r>
      <rPr>
        <sz val="10"/>
        <color indexed="57"/>
        <rFont val="Arial"/>
        <family val="2"/>
      </rPr>
      <t xml:space="preserve"> </t>
    </r>
    <r>
      <rPr>
        <sz val="10"/>
        <rFont val="Arial"/>
        <family val="2"/>
      </rPr>
      <t xml:space="preserve">Pos 3 </t>
    </r>
  </si>
  <si>
    <t>Geotekstiil (b=5,0m)                               NGS 4          m²</t>
  </si>
  <si>
    <t>Geokomposiit                 50/50 (b=5.0 m)               m²</t>
  </si>
  <si>
    <t>(tee pealtlaius - katendi kihi paksused - geosünteet)</t>
  </si>
  <si>
    <t>m³/m</t>
  </si>
  <si>
    <t>Kogus           m³</t>
  </si>
  <si>
    <t xml:space="preserve"> 4,5-10-20-G        </t>
  </si>
  <si>
    <t>RP1</t>
  </si>
  <si>
    <t>Tabel 12. Keskkonnakaitserajatiste rajamise tööde mahud</t>
  </si>
  <si>
    <t>Settebasseini, tuletõrjetiigi või puhastuslodu</t>
  </si>
  <si>
    <t>Maa-pinna kõrgus-arv</t>
  </si>
  <si>
    <t>Sisse-voolava kraavi põhja kõrgus-arv</t>
  </si>
  <si>
    <t xml:space="preserve">SB tüüp / rajatise tähis </t>
  </si>
  <si>
    <t xml:space="preserve">Põhja kõrgusarv </t>
  </si>
  <si>
    <t xml:space="preserve">Sügavus maa-pinnast </t>
  </si>
  <si>
    <t>Mõõdud</t>
  </si>
  <si>
    <t>Raadius</t>
  </si>
  <si>
    <t>Sette-süvise maht</t>
  </si>
  <si>
    <t xml:space="preserve">Kaeve-maht,      gr I-II </t>
  </si>
  <si>
    <t>Kaeve laialiaja-mine</t>
  </si>
  <si>
    <t>Raiutava platsi mõõt</t>
  </si>
  <si>
    <t>Võsa</t>
  </si>
  <si>
    <t>Juuri-mine</t>
  </si>
  <si>
    <t>Ära veda-mine</t>
  </si>
  <si>
    <t>Põhjast</t>
  </si>
  <si>
    <t>Maapinnalt</t>
  </si>
  <si>
    <t>Nimi / nr</t>
  </si>
  <si>
    <t>Asukoht</t>
  </si>
  <si>
    <t xml:space="preserve">Pikkus </t>
  </si>
  <si>
    <t>Laius</t>
  </si>
  <si>
    <t>Madal</t>
  </si>
  <si>
    <t>Kõrge</t>
  </si>
  <si>
    <t>Peen</t>
  </si>
  <si>
    <t>Jäme</t>
  </si>
  <si>
    <r>
      <t>m</t>
    </r>
    <r>
      <rPr>
        <vertAlign val="superscript"/>
        <sz val="10"/>
        <rFont val="Arial"/>
        <family val="2"/>
      </rPr>
      <t>3</t>
    </r>
  </si>
  <si>
    <t>SB-1</t>
  </si>
  <si>
    <t>Tabel 13. Piketeeritud veejuhtme kaevetööde mahu arvutus</t>
  </si>
  <si>
    <t>Piketi nr</t>
  </si>
  <si>
    <t xml:space="preserve">Pikettide vahe-kaugus </t>
  </si>
  <si>
    <t xml:space="preserve">Kaugus suudmest </t>
  </si>
  <si>
    <t xml:space="preserve">Maapinna kõrgusarv </t>
  </si>
  <si>
    <t xml:space="preserve">Veejuhtme </t>
  </si>
  <si>
    <t>Kaevemaht</t>
  </si>
  <si>
    <t xml:space="preserve">Sügavus </t>
  </si>
  <si>
    <t xml:space="preserve">Pealt laius </t>
  </si>
  <si>
    <t xml:space="preserve">Põhja laius </t>
  </si>
  <si>
    <t xml:space="preserve">Põhja lang </t>
  </si>
  <si>
    <t>Piketi kohal</t>
  </si>
  <si>
    <t>Sh pinnase grupp</t>
  </si>
  <si>
    <t>‰</t>
  </si>
  <si>
    <t>Veejuhtme nimetus: 101</t>
  </si>
  <si>
    <t>0+00</t>
  </si>
  <si>
    <t>0+50</t>
  </si>
  <si>
    <t>1:1.5</t>
  </si>
  <si>
    <t>0+90</t>
  </si>
  <si>
    <t>0+150</t>
  </si>
  <si>
    <t>Kui veejuhtme kohta koostatakse pikiprofiil, ei ole antud tabeli koostamine vajalik</t>
  </si>
  <si>
    <t>Ühiku maksumus (€)</t>
  </si>
  <si>
    <t>Hinde alus</t>
  </si>
  <si>
    <t>Töö maksumus (€)</t>
  </si>
  <si>
    <t>kalk</t>
  </si>
  <si>
    <t>T-123</t>
  </si>
  <si>
    <t>T-157</t>
  </si>
  <si>
    <t>A-91</t>
  </si>
  <si>
    <t>S-73</t>
  </si>
  <si>
    <t>S-74</t>
  </si>
  <si>
    <t>S-76</t>
  </si>
  <si>
    <t>S-101</t>
  </si>
  <si>
    <t>T-301</t>
  </si>
  <si>
    <t>Osamaksumused kokku:</t>
  </si>
  <si>
    <t>Käibemaks:</t>
  </si>
  <si>
    <t>Kogumaksumus:</t>
  </si>
  <si>
    <r>
      <t>Töö maksumus (</t>
    </r>
    <r>
      <rPr>
        <sz val="10"/>
        <color indexed="8"/>
        <rFont val="Calibri"/>
        <family val="2"/>
      </rPr>
      <t>€</t>
    </r>
    <r>
      <rPr>
        <sz val="10"/>
        <color indexed="8"/>
        <rFont val="Arial"/>
        <family val="2"/>
        <charset val="186"/>
      </rPr>
      <t>)</t>
    </r>
  </si>
  <si>
    <t>A-90</t>
  </si>
  <si>
    <t>T-959</t>
  </si>
  <si>
    <t>Kruusast teealuse ehitamine koos tihendamisega. Kruus fr 0/63 mm, Pos 3, H=30 cm</t>
  </si>
  <si>
    <t>Kruusast teekatte ehitamine koos tihendamisega. Kruus fr 0/32 mm, Pos 6, H=10 cm</t>
  </si>
  <si>
    <t>Kuivendussüsteem kokku: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</si>
  <si>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</si>
  <si>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</si>
  <si>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</si>
  <si>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</si>
  <si>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</si>
  <si>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</si>
  <si>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</si>
  <si>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</si>
  <si>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</si>
  <si>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</si>
  <si>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</si>
  <si>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VH080</t>
  </si>
  <si>
    <t>VH081</t>
  </si>
  <si>
    <t>VH082</t>
  </si>
  <si>
    <t>VH077</t>
  </si>
  <si>
    <t>VH076</t>
  </si>
  <si>
    <t>VH075, VH076</t>
  </si>
  <si>
    <t>VH075</t>
  </si>
  <si>
    <t>VH075, VH080,VH081</t>
  </si>
  <si>
    <t>KOKKU</t>
  </si>
  <si>
    <t>RE kokku:</t>
  </si>
  <si>
    <t xml:space="preserve">RK kokku: </t>
  </si>
  <si>
    <t>EH6</t>
  </si>
  <si>
    <t xml:space="preserve">RT kokku: </t>
  </si>
  <si>
    <t>19*</t>
  </si>
  <si>
    <t>EH9</t>
  </si>
  <si>
    <t>EH 6</t>
  </si>
  <si>
    <t>AASU-ROONDI5 (PÜ-88)</t>
  </si>
  <si>
    <t xml:space="preserve">AELA3 (PÜ-88) </t>
  </si>
  <si>
    <t>EH10</t>
  </si>
  <si>
    <t>EH11</t>
  </si>
  <si>
    <t>50BT7-</t>
  </si>
  <si>
    <t>75BT7</t>
  </si>
  <si>
    <t>50PT10</t>
  </si>
  <si>
    <t>50BT6-</t>
  </si>
  <si>
    <t>75BT9-</t>
  </si>
  <si>
    <t>20ASBO6</t>
  </si>
  <si>
    <t>75BT8-</t>
  </si>
  <si>
    <t>75BT5-</t>
  </si>
  <si>
    <t>50BT5-</t>
  </si>
  <si>
    <t>RT kokku:</t>
  </si>
  <si>
    <t>KIRIKAIA TALU TEE</t>
  </si>
  <si>
    <t>AELI TEE</t>
  </si>
  <si>
    <t>RUSKEMÄE TEE</t>
  </si>
  <si>
    <t>´004</t>
  </si>
  <si>
    <t>´001</t>
  </si>
  <si>
    <t>6539906.35</t>
  </si>
  <si>
    <t>6540480.41</t>
  </si>
  <si>
    <t>6540298.32</t>
  </si>
  <si>
    <t>6540733.37</t>
  </si>
  <si>
    <t>6541692.74</t>
  </si>
  <si>
    <t>6539601.72</t>
  </si>
  <si>
    <t>6538399.27</t>
  </si>
  <si>
    <t>6536813.70</t>
  </si>
  <si>
    <t>6535629.28</t>
  </si>
  <si>
    <t>6538248.12</t>
  </si>
  <si>
    <t>6539647.14</t>
  </si>
  <si>
    <t>6540107.03</t>
  </si>
  <si>
    <t>6538064.55</t>
  </si>
  <si>
    <t>6537476.20</t>
  </si>
  <si>
    <t>573219.04</t>
  </si>
  <si>
    <t>572586.69</t>
  </si>
  <si>
    <t>573494.29</t>
  </si>
  <si>
    <t>574037.92</t>
  </si>
  <si>
    <t>574184.16</t>
  </si>
  <si>
    <t>573960.36</t>
  </si>
  <si>
    <t>573309.67</t>
  </si>
  <si>
    <t>573729.23</t>
  </si>
  <si>
    <t>573307.14</t>
  </si>
  <si>
    <t>571845.30</t>
  </si>
  <si>
    <t>574357.88</t>
  </si>
  <si>
    <t>574856.19</t>
  </si>
  <si>
    <t>574206.44</t>
  </si>
  <si>
    <t>574594.06</t>
  </si>
  <si>
    <t>77.35</t>
  </si>
  <si>
    <t>78.83</t>
  </si>
  <si>
    <t>78.33</t>
  </si>
  <si>
    <t>80.11</t>
  </si>
  <si>
    <t>75.96</t>
  </si>
  <si>
    <t>74.92</t>
  </si>
  <si>
    <t>76.85</t>
  </si>
  <si>
    <t>73.00</t>
  </si>
  <si>
    <t>74.45</t>
  </si>
  <si>
    <t>75.01</t>
  </si>
  <si>
    <t>75.80</t>
  </si>
  <si>
    <t>74.35</t>
  </si>
  <si>
    <t>74.14</t>
  </si>
  <si>
    <t>Topo-geodeetilised uurimistööd (trasseerimine, piketeerimine, ristprofiilide mõõdistamine) (km)</t>
  </si>
  <si>
    <t>Tee  pinnase sondeerimine (km)</t>
  </si>
  <si>
    <t>03.08.2020-21.08.2020a.</t>
  </si>
  <si>
    <t>Tarvo Verbak Heiki Verbak</t>
  </si>
  <si>
    <t>Kalle Riidak Heiki Verbak</t>
  </si>
  <si>
    <t>H-13</t>
  </si>
  <si>
    <t>T-20-2</t>
  </si>
  <si>
    <t>T-37-2</t>
  </si>
  <si>
    <t>A-43</t>
  </si>
  <si>
    <t>ristmik R-T Vahastu-Tagasmäe teelt</t>
  </si>
  <si>
    <t>101/6112900030240</t>
  </si>
  <si>
    <t>ristmik R-T Virla-Aela teelt</t>
  </si>
  <si>
    <t>ristmik R-T Kirikaia talu teelt lõik 2</t>
  </si>
  <si>
    <t xml:space="preserve">EH 10: AELI TEE  </t>
  </si>
  <si>
    <t>102/6112900030240</t>
  </si>
  <si>
    <t xml:space="preserve">EH 11: RUSKEMÄE TEE  </t>
  </si>
  <si>
    <t>101/6112900030220</t>
  </si>
  <si>
    <t xml:space="preserve">ristmik R-T Aeli teelt lõik </t>
  </si>
  <si>
    <t>RP2</t>
  </si>
  <si>
    <t>13+75 - 16+67</t>
  </si>
  <si>
    <t>RP3</t>
  </si>
  <si>
    <t xml:space="preserve"> 4,5-10-30-G        </t>
  </si>
  <si>
    <t>16+67 - 21+06</t>
  </si>
  <si>
    <t>RP4</t>
  </si>
  <si>
    <t>21+06 - 27+99</t>
  </si>
  <si>
    <t xml:space="preserve"> 4,5-10-30-GK        </t>
  </si>
  <si>
    <t>27+99 - 28+96</t>
  </si>
  <si>
    <t>RP5</t>
  </si>
  <si>
    <t>28+96 - 32+60</t>
  </si>
  <si>
    <t>32+60 - 34+52</t>
  </si>
  <si>
    <t>5+16 - 6+03</t>
  </si>
  <si>
    <t>6+03 - 20+90</t>
  </si>
  <si>
    <t>20+90 - 24+99</t>
  </si>
  <si>
    <t>24+99 - 26+16</t>
  </si>
  <si>
    <t>3+80 - 4+56</t>
  </si>
  <si>
    <t>6+88 - 9+61</t>
  </si>
  <si>
    <t>EH9-1</t>
  </si>
  <si>
    <t>EH9-2</t>
  </si>
  <si>
    <t>EH 9-1: KIRIKAIA TALU TEE lõik 1</t>
  </si>
  <si>
    <t>EH 9-2: KIRIKAIA TALU TEE lõik 2</t>
  </si>
  <si>
    <t>AASU-ROONDIS5(PÜ-88)</t>
  </si>
  <si>
    <t>`004</t>
  </si>
  <si>
    <t>`001</t>
  </si>
  <si>
    <t>AELA3(PÜ-88)</t>
  </si>
  <si>
    <t xml:space="preserve">KIRIKAIA TALU TEE </t>
  </si>
  <si>
    <t>N-1</t>
  </si>
  <si>
    <t>N-2</t>
  </si>
  <si>
    <t>N-3</t>
  </si>
  <si>
    <t>N-4</t>
  </si>
  <si>
    <t>N-5</t>
  </si>
  <si>
    <t>N-6</t>
  </si>
  <si>
    <t>N-7</t>
  </si>
  <si>
    <t>N-8</t>
  </si>
  <si>
    <t>N-9</t>
  </si>
  <si>
    <t>N-10</t>
  </si>
  <si>
    <t>N-11</t>
  </si>
  <si>
    <t>N-12</t>
  </si>
  <si>
    <t>N-14</t>
  </si>
  <si>
    <t>N-15</t>
  </si>
  <si>
    <t>N-16</t>
  </si>
  <si>
    <t>N-17</t>
  </si>
  <si>
    <t>N-18</t>
  </si>
  <si>
    <t>N-19</t>
  </si>
  <si>
    <t>N-20</t>
  </si>
  <si>
    <t>N-21</t>
  </si>
  <si>
    <t>N-22</t>
  </si>
  <si>
    <t>N-24</t>
  </si>
  <si>
    <t>N-23</t>
  </si>
  <si>
    <t>N-25</t>
  </si>
  <si>
    <t>N-26</t>
  </si>
  <si>
    <t>0.8</t>
  </si>
  <si>
    <t>N kokku:</t>
  </si>
  <si>
    <t>N-32</t>
  </si>
  <si>
    <t>N-34</t>
  </si>
  <si>
    <t>ET kokku:</t>
  </si>
  <si>
    <t xml:space="preserve">ET kokku: </t>
  </si>
  <si>
    <t>Geokomposiit 50/50 kN/m, mitte kootud kangas, laiusega 5,0 m, paigaldamine tihendatud ja profileeritud muldkehale</t>
  </si>
  <si>
    <t>Puittaimestiku likvideerimine,  ha ühele</t>
  </si>
  <si>
    <t>Kändude juurimine, ha ühele</t>
  </si>
  <si>
    <t>T kujuline tagasipööramise koht  TP-T</t>
  </si>
  <si>
    <t>Lisatahvli nr 644"Tee nimi" paigaldamine</t>
  </si>
  <si>
    <t xml:space="preserve"> EH9</t>
  </si>
  <si>
    <t xml:space="preserve"> EH10</t>
  </si>
  <si>
    <t xml:space="preserve"> EH11</t>
  </si>
  <si>
    <t>Liiklusmärk nr 644"Tee nimi" komplekt</t>
  </si>
  <si>
    <t>T/44</t>
  </si>
  <si>
    <t>2+74</t>
  </si>
  <si>
    <t>5+54</t>
  </si>
  <si>
    <t>T/45</t>
  </si>
  <si>
    <t>T/46</t>
  </si>
  <si>
    <t>10+32</t>
  </si>
  <si>
    <t>T/47</t>
  </si>
  <si>
    <t>T/48</t>
  </si>
  <si>
    <t>11+76</t>
  </si>
  <si>
    <t>T/49</t>
  </si>
  <si>
    <t>12+65</t>
  </si>
  <si>
    <t>T/50</t>
  </si>
  <si>
    <t>13+00</t>
  </si>
  <si>
    <t>T/51</t>
  </si>
  <si>
    <t>13+75</t>
  </si>
  <si>
    <t>14+66</t>
  </si>
  <si>
    <t>T/52</t>
  </si>
  <si>
    <t>T/53</t>
  </si>
  <si>
    <t>17+11</t>
  </si>
  <si>
    <t>22+06</t>
  </si>
  <si>
    <t>3+40</t>
  </si>
  <si>
    <t>T/54</t>
  </si>
  <si>
    <t>23+04</t>
  </si>
  <si>
    <t>26+38</t>
  </si>
  <si>
    <t>T/55</t>
  </si>
  <si>
    <t>26+52</t>
  </si>
  <si>
    <t>T/56</t>
  </si>
  <si>
    <t>48+48</t>
  </si>
  <si>
    <t>T/57</t>
  </si>
  <si>
    <t>48+50</t>
  </si>
  <si>
    <t>34+23</t>
  </si>
  <si>
    <t>T/58</t>
  </si>
  <si>
    <t>T/59</t>
  </si>
  <si>
    <t>4+30</t>
  </si>
  <si>
    <t>7+69</t>
  </si>
  <si>
    <t>T/60</t>
  </si>
  <si>
    <t>12+76</t>
  </si>
  <si>
    <t>T/61</t>
  </si>
  <si>
    <t>T/62</t>
  </si>
  <si>
    <t>14+72</t>
  </si>
  <si>
    <t>T/63</t>
  </si>
  <si>
    <t>T/64</t>
  </si>
  <si>
    <t>20+93</t>
  </si>
  <si>
    <t>T/66</t>
  </si>
  <si>
    <t>0+16</t>
  </si>
  <si>
    <t>T/67</t>
  </si>
  <si>
    <t>2+76</t>
  </si>
  <si>
    <t>T/68</t>
  </si>
  <si>
    <t>2+56</t>
  </si>
  <si>
    <t>T/73</t>
  </si>
  <si>
    <t>4+24</t>
  </si>
  <si>
    <t>8+10</t>
  </si>
  <si>
    <t>T/74</t>
  </si>
  <si>
    <t>T/75</t>
  </si>
  <si>
    <t>7+83</t>
  </si>
  <si>
    <t>T/30</t>
  </si>
  <si>
    <t>T/31</t>
  </si>
  <si>
    <t>Kirikaia talu tee 1</t>
  </si>
  <si>
    <t>Aeli tee</t>
  </si>
  <si>
    <t>T/32</t>
  </si>
  <si>
    <t>T/33</t>
  </si>
  <si>
    <t>3+66</t>
  </si>
  <si>
    <t>2+38</t>
  </si>
  <si>
    <t>3+19</t>
  </si>
  <si>
    <t>0+80</t>
  </si>
  <si>
    <t>22+70</t>
  </si>
  <si>
    <t>7+21</t>
  </si>
  <si>
    <t>T/3</t>
  </si>
  <si>
    <t>T/6</t>
  </si>
  <si>
    <t>T/9</t>
  </si>
  <si>
    <t>T/16</t>
  </si>
  <si>
    <t>T/17</t>
  </si>
  <si>
    <t>T/18</t>
  </si>
  <si>
    <t>T/20</t>
  </si>
  <si>
    <t>T/22</t>
  </si>
  <si>
    <t>T/23</t>
  </si>
  <si>
    <t>T/25</t>
  </si>
  <si>
    <t>T/26</t>
  </si>
  <si>
    <t>T/27</t>
  </si>
  <si>
    <t>T/28</t>
  </si>
  <si>
    <t>T/29</t>
  </si>
  <si>
    <t>Kirikaia talu tee 2</t>
  </si>
  <si>
    <t>Ruskemäe tee</t>
  </si>
  <si>
    <t>EESVOOL</t>
  </si>
  <si>
    <t>100BT8-</t>
  </si>
  <si>
    <t>EH 9</t>
  </si>
  <si>
    <t>EH 10</t>
  </si>
  <si>
    <t>EH 11</t>
  </si>
  <si>
    <t>100 KOK</t>
  </si>
  <si>
    <t>60 MAOK</t>
  </si>
  <si>
    <t xml:space="preserve">50 MAO </t>
  </si>
  <si>
    <t>40 KOK</t>
  </si>
  <si>
    <t>40 MAOK</t>
  </si>
  <si>
    <t xml:space="preserve">40 MAO </t>
  </si>
  <si>
    <t>Ø 75 (r/b)</t>
  </si>
  <si>
    <t>Ø 100 (r/b)</t>
  </si>
  <si>
    <t>Ø 50 (r/b)</t>
  </si>
  <si>
    <t>plasttruup Ø40 cm, tüüp 40PT, SN8</t>
  </si>
  <si>
    <t>Ø40 MAO. Truubi mattotsak</t>
  </si>
  <si>
    <t>Ø40 MAOK. Truubi mattotsak kivikindlustusega</t>
  </si>
  <si>
    <t>Ø40 KOK. Truubi kiviotsak kivikindlustusega</t>
  </si>
  <si>
    <t>Täiendav kaeve ka. vana truubi lahtikaeve</t>
  </si>
  <si>
    <t xml:space="preserve">E </t>
  </si>
  <si>
    <t xml:space="preserve">Proj. põhja kõrgusarv </t>
  </si>
  <si>
    <r>
      <t>m</t>
    </r>
    <r>
      <rPr>
        <vertAlign val="superscript"/>
        <sz val="10"/>
        <color indexed="10"/>
        <rFont val="Arial"/>
        <family val="2"/>
      </rPr>
      <t>2</t>
    </r>
  </si>
  <si>
    <r>
      <t>m</t>
    </r>
    <r>
      <rPr>
        <vertAlign val="superscript"/>
        <sz val="10"/>
        <color indexed="10"/>
        <rFont val="Arial"/>
        <family val="2"/>
      </rPr>
      <t>3</t>
    </r>
  </si>
  <si>
    <t>kraav nr 100, kv VH081</t>
  </si>
  <si>
    <t>SB-2</t>
  </si>
  <si>
    <t>kraav nr 600, kv VH073</t>
  </si>
  <si>
    <t>SB-0</t>
  </si>
  <si>
    <r>
      <t>m</t>
    </r>
    <r>
      <rPr>
        <sz val="10"/>
        <color indexed="8"/>
        <rFont val="Calibri"/>
        <family val="2"/>
        <charset val="186"/>
      </rPr>
      <t>²</t>
    </r>
  </si>
  <si>
    <t>Kraavide nõlvade kindlustamine erosioonitõkkematiga (dzuudikiust võrguga)</t>
  </si>
  <si>
    <t>VH043</t>
  </si>
  <si>
    <t>VH047</t>
  </si>
  <si>
    <t>VH072</t>
  </si>
  <si>
    <t>VH052</t>
  </si>
  <si>
    <t>VH232</t>
  </si>
  <si>
    <t>VH050</t>
  </si>
  <si>
    <t>VH070</t>
  </si>
  <si>
    <t>VH068</t>
  </si>
  <si>
    <t>VH069</t>
  </si>
  <si>
    <t>27701:001:0389</t>
  </si>
  <si>
    <t>27701:001:0389, VH072</t>
  </si>
  <si>
    <t>27701:004:0016</t>
  </si>
  <si>
    <t>27701:004:0016, VH072</t>
  </si>
  <si>
    <t>27701:004:0016, VH077</t>
  </si>
  <si>
    <t>27701:004:0023, VH073</t>
  </si>
  <si>
    <t>VH247, VH073</t>
  </si>
  <si>
    <t>VH073</t>
  </si>
  <si>
    <t>VH078</t>
  </si>
  <si>
    <t>27701:004:0241</t>
  </si>
  <si>
    <t>27701:005:0290, 27701:005:0351</t>
  </si>
  <si>
    <t>VH049</t>
  </si>
  <si>
    <t>VH048</t>
  </si>
  <si>
    <t>VH070, VH073</t>
  </si>
  <si>
    <t>VH070, VH072</t>
  </si>
  <si>
    <t>VH078, 27701:005:0290, 27701:005:0351</t>
  </si>
  <si>
    <t>27701:005:0351</t>
  </si>
  <si>
    <t>27701:005:0290, VH082</t>
  </si>
  <si>
    <t>27701:005:0803</t>
  </si>
  <si>
    <t xml:space="preserve">VH049, </t>
  </si>
  <si>
    <t>VH051</t>
  </si>
  <si>
    <t>VH051, VH049</t>
  </si>
  <si>
    <t xml:space="preserve">Settebasseinid </t>
  </si>
  <si>
    <t>Di=40 cm plasttruubi torustiku, tüüp 50PT, ehitamine (profileeritud plasttoru, SN8)</t>
  </si>
  <si>
    <t xml:space="preserve">Ø 40 cm plasttruubi mattotsaku ehitamine (tüüp MAO) </t>
  </si>
  <si>
    <t xml:space="preserve">Ø 40 cm plasttruubi mattotsaku kivikindlustusega ehitamine (tüüp MAOK) </t>
  </si>
  <si>
    <t xml:space="preserve">Ø 40 cm plasttruubi kiviotsaku kivikindlustusega ehitamine (tüüp KOK) </t>
  </si>
  <si>
    <t>A-113</t>
  </si>
  <si>
    <t>A-112</t>
  </si>
  <si>
    <t>T-329</t>
  </si>
  <si>
    <t>T-881</t>
  </si>
  <si>
    <t>Pinnase paigutamine tee muldesse ja tasandamine</t>
  </si>
  <si>
    <t xml:space="preserve">S-72 </t>
  </si>
  <si>
    <t>S-117</t>
  </si>
  <si>
    <t>S-118</t>
  </si>
  <si>
    <t>S-102</t>
  </si>
  <si>
    <t>S-104</t>
  </si>
  <si>
    <t>S-108</t>
  </si>
  <si>
    <t>T-424</t>
  </si>
  <si>
    <t>S-289</t>
  </si>
  <si>
    <t>S-273</t>
  </si>
  <si>
    <t>T-51</t>
  </si>
  <si>
    <t>T-168</t>
  </si>
  <si>
    <t>S-21</t>
  </si>
  <si>
    <t>V-1</t>
  </si>
  <si>
    <t>T-983</t>
  </si>
  <si>
    <t xml:space="preserve">T-957 </t>
  </si>
  <si>
    <t>T-954</t>
  </si>
  <si>
    <t>T-21</t>
  </si>
  <si>
    <t>S-258</t>
  </si>
  <si>
    <t>pikendasin</t>
  </si>
  <si>
    <t>tee äär kokku:</t>
  </si>
  <si>
    <t>tee äär 1</t>
  </si>
  <si>
    <t>tee äär 2</t>
  </si>
  <si>
    <t>tee äär 3</t>
  </si>
  <si>
    <t>tee äär 4</t>
  </si>
  <si>
    <t>tee äär 5</t>
  </si>
  <si>
    <t>tee äär 6</t>
  </si>
  <si>
    <t>27701:005:0803, 27701:005:0741</t>
  </si>
  <si>
    <t>27701:005:0803, VH081</t>
  </si>
  <si>
    <t>27701:005:0741</t>
  </si>
  <si>
    <t>ei tee</t>
  </si>
  <si>
    <t>Tabel 13. Muude tööde mahud</t>
  </si>
  <si>
    <t>Tabel 14A. Kuivendussüsteemi rekonstrueerimise- ja ehitustööde ligikaudne maksumus</t>
  </si>
  <si>
    <t>Tabel 14B. Teede rekonstrueerimise- ja ehitustööde ligikaudne maksumus</t>
  </si>
  <si>
    <t>004</t>
  </si>
  <si>
    <t>Madala võsa raie (MV)</t>
  </si>
  <si>
    <t>Madala võsa vedu 600 m  (MV)</t>
  </si>
  <si>
    <t>Ehitustöödele ette jäävate piirimärkide ümber tõstmine vastavalt maakorralduse nõuetele ning sellega seotud dokumentatsiooni vormistamine</t>
  </si>
  <si>
    <t>Kärdiaugu kü kagunurgas</t>
  </si>
  <si>
    <t>Kv WR472, er 4 idanurk</t>
  </si>
  <si>
    <t>Aeli tee algus, kraavi 921 käänaku juures</t>
  </si>
  <si>
    <t>Kirikaia talu tee 2 PK11 ja PK12 vahel, paremal pool tee ääres</t>
  </si>
  <si>
    <t>Kirikaia talu tee 2 alguses PK1 juures</t>
  </si>
  <si>
    <t>Kirikaia talu tee 2 rek lõigu lõpus, vasakul pool teed</t>
  </si>
  <si>
    <t>Kirikaia talu tee 1 lõigu lõpus</t>
  </si>
  <si>
    <t>Kirikaia talu tee 1 pk19 juures vaskul pool teed</t>
  </si>
  <si>
    <t>Aeli tee ääres vasakul, metsakvartalis VH068, eraldisel 5</t>
  </si>
  <si>
    <t>Metsakvartalil VH058, kraavide 700 ja 701 alguses, truubi T/11 juures</t>
  </si>
  <si>
    <t>Metsakvartalil VH054, kraavist 713 loodes 56m kaugusel, eraldisel 21</t>
  </si>
  <si>
    <t>Metsakvartalil VH074, kraavide 635 ja 637 vahelisel alal, eraldisel 8, eesvoolukraavi ääres</t>
  </si>
  <si>
    <t>Metsakvartalil VH236, raldisel 4, kraavi 651 lõpus</t>
  </si>
  <si>
    <t>Kirikaia talu tee 1 pk 2 juures vaskul pool teed</t>
  </si>
  <si>
    <t>Ø 50 cm truubitoru (r/b) väljatõstmine ja utiliseerimine</t>
  </si>
  <si>
    <t>Ø 75 cm truubitoru (r/b) väljatõstmine ja utiliseerimine</t>
  </si>
  <si>
    <t>Ø 100 cm truubitoru (r/b) väljatõstmine ja utiliseerimine</t>
  </si>
  <si>
    <t>Ol.olevate piirimärkide säilitamine ja ehituse käigus lõhutud piirimärkide taastamine</t>
  </si>
  <si>
    <t>EH2</t>
  </si>
  <si>
    <t>Vahastu1</t>
  </si>
  <si>
    <t>005</t>
  </si>
  <si>
    <t>T-44</t>
  </si>
  <si>
    <t>Olemasoleva teepinna koorimine koos pinnase äraveoga kuni 300m</t>
  </si>
  <si>
    <t>V-5</t>
  </si>
  <si>
    <t>Kruusast teealuse ehitamine koos tihendamisega. Kruus fr 0/63 mm. Pos 3, H=20...30 cm</t>
  </si>
  <si>
    <t>´005</t>
  </si>
  <si>
    <t>Teetrassi täitmine/tasandamine teekraavide pinnasest, koos tihendamisega</t>
  </si>
  <si>
    <t>mulde ehitamine juurde veetavast mineraalpinnasest, H=20 cm</t>
  </si>
  <si>
    <t>sh geotekstiili 4. profiil (NGS 4), mitte kootud kangas, laiusega 5,0 m, paigaldamine tihendatud ja profileeritud muldkehale Ülekatteta maht)</t>
  </si>
  <si>
    <t>sh mulde ehitamine juurde veetavast mineraalpinnasest, , H=20 cm</t>
  </si>
  <si>
    <t>sh geotekstiili 4. profiil (NGS 4), mitte kootud kangas, laiusega 5,0 m, paigaldamine tihendatud ja profileeritud muldkehale (Ülekatteta maht)</t>
  </si>
  <si>
    <t>Juurdeveetav mineraalpinnas muldkeha ehitamiseks</t>
  </si>
  <si>
    <t>4+56 - 4+92</t>
  </si>
  <si>
    <t>0+20 - 3+80</t>
  </si>
  <si>
    <t>0+00 - 0+20</t>
  </si>
  <si>
    <t>0+20 - 5+16</t>
  </si>
  <si>
    <t>0+20 - 6+88</t>
  </si>
  <si>
    <t xml:space="preserve">Rekonstrueeritava/ehitatava teelõigu pikkus </t>
  </si>
  <si>
    <t>N-25-1</t>
  </si>
  <si>
    <t>S-272</t>
  </si>
  <si>
    <t>S-274</t>
  </si>
  <si>
    <t>H-1</t>
  </si>
  <si>
    <t>A-42</t>
  </si>
  <si>
    <t>23,28*76,6</t>
  </si>
  <si>
    <t>24,28*74,95</t>
  </si>
  <si>
    <t>Tagasipõõramiskoht tüüp TP-T</t>
  </si>
  <si>
    <t>A-89</t>
  </si>
  <si>
    <t>sh mulde ehitamine juurde veetavast mineraalpinnasest, H=20 cm</t>
  </si>
  <si>
    <t>maht</t>
  </si>
  <si>
    <t>tegemise aeg</t>
  </si>
  <si>
    <t>tegija</t>
  </si>
  <si>
    <r>
      <t xml:space="preserve">     6112740020050/004    AASU-ROONDI5 (PÜ-88)   EH1 </t>
    </r>
    <r>
      <rPr>
        <sz val="12"/>
        <color indexed="8"/>
        <rFont val="Times New Roman"/>
        <family val="1"/>
        <charset val="186"/>
      </rPr>
      <t xml:space="preserve"> </t>
    </r>
  </si>
  <si>
    <t>Kuivendusvõrgu ja eesvoolukraavide rekonstrueerimise vajaduse uurimine ha</t>
  </si>
  <si>
    <t>(kraavid,truubid).</t>
  </si>
  <si>
    <t>Kultuurtehniliste tööde vajadus ja maht.</t>
  </si>
  <si>
    <t>Eesvoolu uurimine ja mõõdistamine km</t>
  </si>
  <si>
    <t>6112740020050/005    VAHASTU1                          EH2</t>
  </si>
  <si>
    <t>Eesvoolu uurimine km</t>
  </si>
  <si>
    <t>6112900030250/001    VAHASTU2                          EH3</t>
  </si>
  <si>
    <t>Kuivendusvõrgu  rekonstrueerimise vajaduse uurimine ha</t>
  </si>
  <si>
    <t>6112900030220/001    AELA1 (PÜ-88)                    EH4</t>
  </si>
  <si>
    <t>6112910010010/001    AELA9 (PÜ-88)                    EH5</t>
  </si>
  <si>
    <t>6112900030240/001    AELA3 (PÜ-88)                    EH6</t>
  </si>
  <si>
    <t>Ajutise reeperi paigaldamine (tk)</t>
  </si>
  <si>
    <t>6112740030010/003    AELA2 (PÜ-88)                    EH7</t>
  </si>
  <si>
    <t>6112740040060/004    AELA10 (PÜ-88)                  EH8</t>
  </si>
  <si>
    <t>6112900030240 /101   Kirikaia talu tee                    EH9</t>
  </si>
  <si>
    <t>6,07km</t>
  </si>
  <si>
    <t>Eveli Verbak</t>
  </si>
  <si>
    <t>Kalle Riidak</t>
  </si>
  <si>
    <t>Möödasõidukohtade ja teelt mahasõidukohtade projekteerimiseks vajalikud</t>
  </si>
  <si>
    <t>uurimistööd (km)</t>
  </si>
  <si>
    <t>6112900030240 /102   Aeli tee                                   EH10</t>
  </si>
  <si>
    <t>0,49km</t>
  </si>
  <si>
    <t>6112900030220 /101   Ruskemäe tee                        EH11</t>
  </si>
  <si>
    <t>0,99km</t>
  </si>
  <si>
    <t>`1:2</t>
  </si>
  <si>
    <t>Kirikaia talu tee</t>
  </si>
  <si>
    <t>Nõva kaevest saadava pinnase teisaldamine buldooseriga kuni 100m</t>
  </si>
  <si>
    <t>T-316</t>
  </si>
  <si>
    <t>RP6</t>
  </si>
  <si>
    <t>RP7</t>
  </si>
  <si>
    <t>0+20 - 2+60</t>
  </si>
  <si>
    <t>2+60 - 4+14</t>
  </si>
  <si>
    <t>4+14 - 13+75</t>
  </si>
  <si>
    <t>Täitepinnase vedu ja tee mulde ehitamine (sorteeritud looduslik kruus pk0...pk4+14)</t>
  </si>
  <si>
    <t xml:space="preserve">HK kokku: </t>
  </si>
  <si>
    <t>EH 9-1</t>
  </si>
  <si>
    <t>EH 9-2</t>
  </si>
  <si>
    <t>VH047, VH050</t>
  </si>
  <si>
    <t>UK</t>
  </si>
  <si>
    <t xml:space="preserve">UK kokku: </t>
  </si>
  <si>
    <t>UT</t>
  </si>
  <si>
    <t>UT kokku:</t>
  </si>
  <si>
    <t>HT</t>
  </si>
  <si>
    <t>HT kokku:</t>
  </si>
  <si>
    <t xml:space="preserve">UT kokku: </t>
  </si>
  <si>
    <t xml:space="preserve">HT kokku: </t>
  </si>
  <si>
    <t>Hooldatavad truubid</t>
  </si>
  <si>
    <t>Truubitorust sette likvideerimine 0,25 läbimõõtu</t>
  </si>
  <si>
    <t>H-65</t>
  </si>
  <si>
    <t>Trapetiskijuline, kraavi 100 põhjakaldale</t>
  </si>
  <si>
    <t>60 KOK</t>
  </si>
  <si>
    <t>Ø60KOK</t>
  </si>
  <si>
    <t>Ø60 KOK. Truubi kiviotsak kivikindlustusega</t>
  </si>
  <si>
    <t xml:space="preserve">Ø 60 cm plasttruubi kiviotsaku kivikindlustusega ehitamine (tüüp KOK) </t>
  </si>
  <si>
    <t>Sorteeritud looduslik kruus</t>
  </si>
  <si>
    <t>t</t>
  </si>
  <si>
    <t>VH072, VH073, 27701:004:0023</t>
  </si>
  <si>
    <t>Kraavilaiendi rajamine</t>
  </si>
  <si>
    <t>Jrk nr</t>
  </si>
  <si>
    <t>Kraavilaiend (KL), süvend kraavi põhjas 0,5 m, põhja laius 1,0 m, ühe kalda nõlvus 1:3, pikkus 10 m</t>
  </si>
  <si>
    <t>Kraavilaiendi mahamärkimine</t>
  </si>
  <si>
    <t>Kaevamine III gr pinnas</t>
  </si>
  <si>
    <t>Puistepinnase laialiajamine buldooseriga, lükkekaugus kuni 40 m</t>
  </si>
  <si>
    <t>Kraavilaiendi puhastamine settest tööde käigus</t>
  </si>
  <si>
    <t>Puittaimestiku likvideerimine</t>
  </si>
  <si>
    <t>Kändude juurimine</t>
  </si>
  <si>
    <t xml:space="preserve">ha </t>
  </si>
  <si>
    <t>T-124</t>
  </si>
  <si>
    <t>t/1</t>
  </si>
  <si>
    <t>geotekstiil NGS2</t>
  </si>
  <si>
    <t xml:space="preserve">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</si>
</sst>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0.0"/>
    <numFmt numFmtId="166" formatCode="#,##0\ &quot;€&quot;"/>
    <numFmt numFmtId="167" formatCode="\ * #,##0.00&quot;     &quot;;\-* #,##0.00&quot;     &quot;;\ * \-#&quot;     &quot;;\ @\ "/>
    <numFmt numFmtId="168" formatCode="\ * #,##0.00&quot; kr &quot;;\-* #,##0.00&quot; kr &quot;;\ * \-#&quot; kr &quot;;\ @\ "/>
  </numFmts>
  <fonts count="90">
    <font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  <charset val="186"/>
    </font>
    <font>
      <vertAlign val="superscript"/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i/>
      <sz val="10"/>
      <color indexed="8"/>
      <name val="Arial"/>
      <family val="2"/>
      <charset val="186"/>
    </font>
    <font>
      <sz val="10"/>
      <color indexed="8"/>
      <name val="Calibri"/>
      <family val="2"/>
    </font>
    <font>
      <vertAlign val="superscript"/>
      <sz val="10"/>
      <name val="Arial"/>
      <family val="2"/>
    </font>
    <font>
      <sz val="11"/>
      <color indexed="10"/>
      <name val="Calibri"/>
      <family val="2"/>
    </font>
    <font>
      <i/>
      <sz val="9"/>
      <color indexed="8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0"/>
      <color indexed="57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Arial"/>
      <family val="2"/>
      <charset val="186"/>
    </font>
    <font>
      <i/>
      <sz val="11"/>
      <color indexed="8"/>
      <name val="Calibri"/>
      <family val="2"/>
      <charset val="186"/>
    </font>
    <font>
      <sz val="11"/>
      <color indexed="8"/>
      <name val="Arial"/>
      <family val="2"/>
      <charset val="186"/>
    </font>
    <font>
      <b/>
      <sz val="11"/>
      <color indexed="8"/>
      <name val="Arial"/>
      <family val="2"/>
      <charset val="186"/>
    </font>
    <font>
      <sz val="10"/>
      <color indexed="8"/>
      <name val="Calibri"/>
      <family val="2"/>
    </font>
    <font>
      <sz val="10"/>
      <color indexed="10"/>
      <name val="Arial"/>
      <family val="2"/>
      <charset val="186"/>
    </font>
    <font>
      <b/>
      <i/>
      <sz val="10"/>
      <color indexed="8"/>
      <name val="Arial"/>
      <family val="2"/>
    </font>
    <font>
      <sz val="10"/>
      <name val="Arial"/>
      <family val="2"/>
      <charset val="186"/>
    </font>
    <font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6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58"/>
      <name val="Arial"/>
      <family val="2"/>
      <charset val="186"/>
    </font>
    <font>
      <sz val="18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b/>
      <sz val="24"/>
      <color indexed="8"/>
      <name val="Arial"/>
      <family val="2"/>
      <charset val="186"/>
    </font>
    <font>
      <u/>
      <sz val="10"/>
      <color indexed="12"/>
      <name val="Arial"/>
      <family val="2"/>
      <charset val="186"/>
    </font>
    <font>
      <sz val="10"/>
      <color indexed="19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color indexed="63"/>
      <name val="Arial"/>
      <family val="2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Calibri"/>
      <family val="2"/>
      <charset val="186"/>
    </font>
    <font>
      <sz val="11"/>
      <color indexed="10"/>
      <name val="Calibri"/>
      <family val="2"/>
      <charset val="186"/>
    </font>
    <font>
      <vertAlign val="superscript"/>
      <sz val="10"/>
      <color indexed="10"/>
      <name val="Arial"/>
      <family val="2"/>
    </font>
    <font>
      <b/>
      <sz val="11"/>
      <name val="Calibri"/>
      <family val="2"/>
      <charset val="186"/>
    </font>
    <font>
      <sz val="11"/>
      <color rgb="FFFF0000"/>
      <name val="Calibri"/>
      <family val="2"/>
      <charset val="186"/>
      <scheme val="minor"/>
    </font>
    <font>
      <sz val="10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0"/>
      <color theme="9" tint="-0.249977111117893"/>
      <name val="Arial"/>
      <family val="2"/>
    </font>
    <font>
      <sz val="10"/>
      <color theme="9" tint="-0.249977111117893"/>
      <name val="Arial"/>
      <family val="2"/>
      <charset val="186"/>
    </font>
    <font>
      <sz val="11"/>
      <color theme="9" tint="-0.249977111117893"/>
      <name val="Calibri"/>
      <family val="2"/>
      <charset val="186"/>
      <scheme val="minor"/>
    </font>
    <font>
      <b/>
      <sz val="12"/>
      <color rgb="FFFF0000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0"/>
      <color rgb="FFFF0000"/>
      <name val="Calibri"/>
      <family val="2"/>
    </font>
    <font>
      <i/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  <charset val="186"/>
    </font>
    <font>
      <sz val="12"/>
      <color rgb="FF242021"/>
      <name val="TimesNewRomanPSMT"/>
    </font>
    <font>
      <sz val="10"/>
      <color rgb="FF242021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theme="1"/>
      <name val="Arial"/>
      <family val="2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1"/>
      <color theme="1"/>
      <name val="Times New Roman"/>
      <family val="1"/>
      <charset val="186"/>
    </font>
    <font>
      <sz val="10"/>
      <color theme="1"/>
      <name val="Arial"/>
      <family val="2"/>
    </font>
    <font>
      <sz val="12"/>
      <name val="Arial"/>
      <family val="2"/>
    </font>
    <font>
      <i/>
      <sz val="10"/>
      <name val="Arial"/>
      <family val="2"/>
      <charset val="186"/>
    </font>
  </fonts>
  <fills count="22">
    <fill>
      <patternFill patternType="none"/>
    </fill>
    <fill>
      <patternFill patternType="gray125"/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6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6"/>
      </patternFill>
    </fill>
  </fills>
  <borders count="1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1"/>
      </left>
      <right/>
      <top/>
      <bottom/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1"/>
      </left>
      <right/>
      <top/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1"/>
      </left>
      <right style="medium">
        <color rgb="FF000001"/>
      </right>
      <top style="medium">
        <color rgb="FF00000A"/>
      </top>
      <bottom/>
      <diagonal/>
    </border>
    <border>
      <left style="medium">
        <color rgb="FF000001"/>
      </left>
      <right style="medium">
        <color rgb="FF000001"/>
      </right>
      <top/>
      <bottom/>
      <diagonal/>
    </border>
    <border>
      <left style="medium">
        <color rgb="FF000001"/>
      </left>
      <right style="medium">
        <color rgb="FF000001"/>
      </right>
      <top/>
      <bottom style="medium">
        <color rgb="FF00000A"/>
      </bottom>
      <diagonal/>
    </border>
    <border>
      <left style="medium">
        <color rgb="FF000001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1"/>
      </left>
      <right style="medium">
        <color rgb="FF00000A"/>
      </right>
      <top/>
      <bottom/>
      <diagonal/>
    </border>
    <border>
      <left style="medium">
        <color rgb="FF000001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14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5" borderId="0" applyNumberFormat="0" applyBorder="0" applyAlignment="0" applyProtection="0"/>
    <xf numFmtId="164" fontId="51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8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48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36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8" borderId="1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8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0" fontId="4" fillId="0" borderId="19" xfId="0" applyFont="1" applyBorder="1"/>
    <xf numFmtId="0" fontId="4" fillId="0" borderId="9" xfId="0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20" xfId="0" applyNumberFormat="1" applyFont="1" applyBorder="1"/>
    <xf numFmtId="2" fontId="4" fillId="0" borderId="21" xfId="0" applyNumberFormat="1" applyFont="1" applyBorder="1"/>
    <xf numFmtId="0" fontId="4" fillId="0" borderId="17" xfId="0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2" fontId="4" fillId="0" borderId="15" xfId="0" applyNumberFormat="1" applyFont="1" applyBorder="1"/>
    <xf numFmtId="2" fontId="4" fillId="0" borderId="16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/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0" fillId="0" borderId="0" xfId="0" applyNumberFormat="1"/>
    <xf numFmtId="0" fontId="4" fillId="0" borderId="28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 vertical="center"/>
    </xf>
    <xf numFmtId="0" fontId="13" fillId="0" borderId="0" xfId="137" applyFont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1" fontId="17" fillId="0" borderId="10" xfId="0" applyNumberFormat="1" applyFont="1" applyBorder="1" applyAlignment="1">
      <alignment horizontal="center" vertical="center"/>
    </xf>
    <xf numFmtId="1" fontId="16" fillId="0" borderId="12" xfId="0" applyNumberFormat="1" applyFont="1" applyBorder="1" applyAlignment="1">
      <alignment horizontal="center" vertical="center"/>
    </xf>
    <xf numFmtId="2" fontId="16" fillId="0" borderId="12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4" fillId="9" borderId="21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1" fillId="0" borderId="0" xfId="0" applyFont="1"/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1" fontId="10" fillId="0" borderId="21" xfId="0" applyNumberFormat="1" applyFont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7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8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  <xf numFmtId="0" fontId="32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top"/>
    </xf>
    <xf numFmtId="0" fontId="10" fillId="0" borderId="25" xfId="0" applyFont="1" applyBorder="1" applyAlignment="1">
      <alignment horizontal="center" vertical="top" wrapText="1"/>
    </xf>
    <xf numFmtId="0" fontId="7" fillId="10" borderId="8" xfId="0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7" fillId="10" borderId="12" xfId="0" applyFont="1" applyFill="1" applyBorder="1" applyAlignment="1">
      <alignment horizontal="center"/>
    </xf>
    <xf numFmtId="0" fontId="7" fillId="0" borderId="10" xfId="0" applyFont="1" applyBorder="1"/>
    <xf numFmtId="1" fontId="15" fillId="10" borderId="10" xfId="0" applyNumberFormat="1" applyFont="1" applyFill="1" applyBorder="1" applyAlignment="1">
      <alignment horizontal="center"/>
    </xf>
    <xf numFmtId="0" fontId="27" fillId="10" borderId="12" xfId="0" applyFont="1" applyFill="1" applyBorder="1" applyAlignment="1">
      <alignment horizontal="center"/>
    </xf>
    <xf numFmtId="0" fontId="15" fillId="10" borderId="12" xfId="0" applyFont="1" applyFill="1" applyBorder="1" applyAlignment="1">
      <alignment horizontal="center"/>
    </xf>
    <xf numFmtId="1" fontId="15" fillId="10" borderId="12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12" xfId="0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0" fillId="0" borderId="41" xfId="0" applyBorder="1"/>
    <xf numFmtId="0" fontId="5" fillId="0" borderId="2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12" xfId="0" applyBorder="1"/>
    <xf numFmtId="1" fontId="5" fillId="9" borderId="32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33" fillId="0" borderId="0" xfId="0" applyFont="1"/>
    <xf numFmtId="0" fontId="3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" fontId="17" fillId="0" borderId="9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166" fontId="5" fillId="0" borderId="32" xfId="0" applyNumberFormat="1" applyFont="1" applyBorder="1" applyAlignment="1">
      <alignment horizontal="center"/>
    </xf>
    <xf numFmtId="0" fontId="22" fillId="0" borderId="3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46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 vertical="center"/>
    </xf>
    <xf numFmtId="2" fontId="4" fillId="0" borderId="4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11" borderId="16" xfId="0" applyFill="1" applyBorder="1" applyAlignment="1">
      <alignment horizontal="center" wrapText="1"/>
    </xf>
    <xf numFmtId="0" fontId="4" fillId="0" borderId="25" xfId="0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165" fontId="11" fillId="11" borderId="16" xfId="76" applyNumberFormat="1" applyFill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1" fillId="11" borderId="16" xfId="76" applyFill="1" applyBorder="1" applyAlignment="1">
      <alignment horizontal="center"/>
    </xf>
    <xf numFmtId="0" fontId="50" fillId="11" borderId="8" xfId="0" applyFont="1" applyFill="1" applyBorder="1" applyAlignment="1">
      <alignment horizontal="center"/>
    </xf>
    <xf numFmtId="0" fontId="50" fillId="11" borderId="25" xfId="76" applyFont="1" applyFill="1" applyBorder="1" applyAlignment="1">
      <alignment horizontal="center"/>
    </xf>
    <xf numFmtId="0" fontId="0" fillId="11" borderId="51" xfId="0" applyFill="1" applyBorder="1" applyAlignment="1">
      <alignment horizontal="center" wrapText="1"/>
    </xf>
    <xf numFmtId="2" fontId="11" fillId="11" borderId="16" xfId="76" applyNumberFormat="1" applyFill="1" applyBorder="1" applyAlignment="1">
      <alignment horizontal="center"/>
    </xf>
    <xf numFmtId="0" fontId="50" fillId="11" borderId="50" xfId="76" applyFont="1" applyFill="1" applyBorder="1" applyAlignment="1">
      <alignment horizontal="center"/>
    </xf>
    <xf numFmtId="0" fontId="11" fillId="11" borderId="48" xfId="76" applyFill="1" applyBorder="1" applyAlignment="1">
      <alignment horizontal="center"/>
    </xf>
    <xf numFmtId="165" fontId="11" fillId="11" borderId="48" xfId="76" applyNumberFormat="1" applyFill="1" applyBorder="1" applyAlignment="1">
      <alignment horizontal="center"/>
    </xf>
    <xf numFmtId="2" fontId="11" fillId="11" borderId="48" xfId="76" applyNumberFormat="1" applyFill="1" applyBorder="1" applyAlignment="1">
      <alignment horizontal="center"/>
    </xf>
    <xf numFmtId="0" fontId="11" fillId="11" borderId="52" xfId="76" applyFill="1" applyBorder="1" applyAlignment="1">
      <alignment horizontal="center"/>
    </xf>
    <xf numFmtId="165" fontId="11" fillId="11" borderId="52" xfId="76" applyNumberFormat="1" applyFill="1" applyBorder="1" applyAlignment="1">
      <alignment horizontal="center"/>
    </xf>
    <xf numFmtId="2" fontId="11" fillId="11" borderId="52" xfId="76" applyNumberFormat="1" applyFill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/>
    </xf>
    <xf numFmtId="0" fontId="4" fillId="0" borderId="58" xfId="0" applyFont="1" applyBorder="1"/>
    <xf numFmtId="0" fontId="5" fillId="0" borderId="59" xfId="0" applyFont="1" applyBorder="1" applyAlignment="1">
      <alignment horizontal="center" vertical="center"/>
    </xf>
    <xf numFmtId="2" fontId="5" fillId="0" borderId="55" xfId="0" applyNumberFormat="1" applyFont="1" applyBorder="1" applyAlignment="1">
      <alignment horizontal="center" vertical="center"/>
    </xf>
    <xf numFmtId="2" fontId="5" fillId="0" borderId="60" xfId="0" applyNumberFormat="1" applyFont="1" applyBorder="1" applyAlignment="1">
      <alignment horizontal="center" vertical="center"/>
    </xf>
    <xf numFmtId="1" fontId="5" fillId="0" borderId="60" xfId="0" applyNumberFormat="1" applyFont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1" fontId="5" fillId="0" borderId="6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/>
    </xf>
    <xf numFmtId="49" fontId="4" fillId="0" borderId="60" xfId="0" applyNumberFormat="1" applyFont="1" applyBorder="1" applyAlignment="1">
      <alignment horizontal="center"/>
    </xf>
    <xf numFmtId="0" fontId="5" fillId="0" borderId="55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2" fontId="4" fillId="0" borderId="22" xfId="0" applyNumberFormat="1" applyFont="1" applyBorder="1"/>
    <xf numFmtId="2" fontId="4" fillId="0" borderId="14" xfId="0" applyNumberFormat="1" applyFont="1" applyBorder="1"/>
    <xf numFmtId="2" fontId="16" fillId="0" borderId="13" xfId="0" applyNumberFormat="1" applyFont="1" applyBorder="1" applyAlignment="1">
      <alignment horizontal="center" vertical="center"/>
    </xf>
    <xf numFmtId="1" fontId="10" fillId="0" borderId="37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50" fillId="11" borderId="49" xfId="76" applyNumberFormat="1" applyFont="1" applyFill="1" applyBorder="1" applyAlignment="1">
      <alignment horizontal="center"/>
    </xf>
    <xf numFmtId="0" fontId="10" fillId="0" borderId="62" xfId="0" applyFont="1" applyBorder="1" applyAlignment="1">
      <alignment horizontal="center" vertical="center"/>
    </xf>
    <xf numFmtId="0" fontId="5" fillId="10" borderId="44" xfId="0" applyFont="1" applyFill="1" applyBorder="1" applyAlignment="1">
      <alignment horizontal="center" vertical="center"/>
    </xf>
    <xf numFmtId="0" fontId="5" fillId="10" borderId="63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 wrapText="1"/>
    </xf>
    <xf numFmtId="0" fontId="4" fillId="10" borderId="16" xfId="0" applyFont="1" applyFill="1" applyBorder="1" applyAlignment="1">
      <alignment horizontal="center" vertical="center" wrapText="1"/>
    </xf>
    <xf numFmtId="0" fontId="4" fillId="10" borderId="17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5" fillId="10" borderId="59" xfId="0" applyFont="1" applyFill="1" applyBorder="1" applyAlignment="1">
      <alignment horizontal="center" vertical="center"/>
    </xf>
    <xf numFmtId="1" fontId="16" fillId="10" borderId="12" xfId="0" applyNumberFormat="1" applyFont="1" applyFill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0" fontId="53" fillId="10" borderId="12" xfId="0" applyFont="1" applyFill="1" applyBorder="1" applyAlignment="1">
      <alignment horizontal="center"/>
    </xf>
    <xf numFmtId="0" fontId="53" fillId="10" borderId="12" xfId="0" applyFont="1" applyFill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165" fontId="50" fillId="11" borderId="25" xfId="76" applyNumberFormat="1" applyFont="1" applyFill="1" applyBorder="1" applyAlignment="1">
      <alignment horizontal="center"/>
    </xf>
    <xf numFmtId="1" fontId="50" fillId="0" borderId="25" xfId="0" applyNumberFormat="1" applyFont="1" applyBorder="1" applyAlignment="1">
      <alignment horizontal="center" vertical="center"/>
    </xf>
    <xf numFmtId="1" fontId="17" fillId="0" borderId="25" xfId="0" applyNumberFormat="1" applyFont="1" applyBorder="1" applyAlignment="1">
      <alignment horizontal="center" vertical="center"/>
    </xf>
    <xf numFmtId="2" fontId="17" fillId="0" borderId="25" xfId="0" applyNumberFormat="1" applyFont="1" applyBorder="1" applyAlignment="1">
      <alignment horizontal="center" vertical="center"/>
    </xf>
    <xf numFmtId="2" fontId="50" fillId="11" borderId="25" xfId="76" applyNumberFormat="1" applyFont="1" applyFill="1" applyBorder="1" applyAlignment="1">
      <alignment horizontal="center"/>
    </xf>
    <xf numFmtId="0" fontId="7" fillId="0" borderId="5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5" fillId="0" borderId="31" xfId="137" applyFont="1" applyBorder="1" applyAlignment="1">
      <alignment horizontal="right" wrapText="1"/>
    </xf>
    <xf numFmtId="0" fontId="4" fillId="0" borderId="8" xfId="0" applyFont="1" applyBorder="1" applyAlignment="1">
      <alignment horizontal="center"/>
    </xf>
    <xf numFmtId="0" fontId="7" fillId="10" borderId="65" xfId="0" applyFont="1" applyFill="1" applyBorder="1" applyAlignment="1">
      <alignment horizontal="center"/>
    </xf>
    <xf numFmtId="0" fontId="7" fillId="10" borderId="18" xfId="0" applyFont="1" applyFill="1" applyBorder="1" applyAlignment="1">
      <alignment horizontal="center"/>
    </xf>
    <xf numFmtId="0" fontId="11" fillId="10" borderId="12" xfId="0" applyFont="1" applyFill="1" applyBorder="1" applyAlignment="1">
      <alignment horizontal="center"/>
    </xf>
    <xf numFmtId="1" fontId="50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1" fillId="11" borderId="50" xfId="76" applyFill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0" fillId="11" borderId="12" xfId="0" applyFill="1" applyBorder="1" applyAlignment="1">
      <alignment horizontal="center" wrapText="1"/>
    </xf>
    <xf numFmtId="0" fontId="50" fillId="11" borderId="12" xfId="76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165" fontId="50" fillId="11" borderId="12" xfId="76" applyNumberFormat="1" applyFont="1" applyFill="1" applyBorder="1" applyAlignment="1">
      <alignment horizontal="center"/>
    </xf>
    <xf numFmtId="1" fontId="50" fillId="0" borderId="12" xfId="0" applyNumberFormat="1" applyFont="1" applyBorder="1" applyAlignment="1">
      <alignment horizontal="center" vertical="center"/>
    </xf>
    <xf numFmtId="1" fontId="17" fillId="0" borderId="12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2" fontId="50" fillId="11" borderId="12" xfId="76" applyNumberFormat="1" applyFont="1" applyFill="1" applyBorder="1" applyAlignment="1">
      <alignment horizontal="center"/>
    </xf>
    <xf numFmtId="0" fontId="11" fillId="11" borderId="12" xfId="76" applyFill="1" applyBorder="1" applyAlignment="1">
      <alignment horizontal="center"/>
    </xf>
    <xf numFmtId="0" fontId="50" fillId="0" borderId="67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3" fontId="15" fillId="0" borderId="61" xfId="0" applyNumberFormat="1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/>
    </xf>
    <xf numFmtId="3" fontId="15" fillId="0" borderId="6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1" fontId="17" fillId="0" borderId="8" xfId="0" applyNumberFormat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0" fontId="0" fillId="11" borderId="8" xfId="0" applyFill="1" applyBorder="1" applyAlignment="1">
      <alignment horizontal="center" wrapText="1"/>
    </xf>
    <xf numFmtId="0" fontId="50" fillId="11" borderId="8" xfId="76" applyFont="1" applyFill="1" applyBorder="1" applyAlignment="1">
      <alignment horizontal="center"/>
    </xf>
    <xf numFmtId="165" fontId="50" fillId="11" borderId="8" xfId="76" applyNumberFormat="1" applyFont="1" applyFill="1" applyBorder="1" applyAlignment="1">
      <alignment horizontal="center"/>
    </xf>
    <xf numFmtId="2" fontId="50" fillId="11" borderId="8" xfId="76" applyNumberFormat="1" applyFont="1" applyFill="1" applyBorder="1" applyAlignment="1">
      <alignment horizontal="center"/>
    </xf>
    <xf numFmtId="49" fontId="11" fillId="11" borderId="70" xfId="76" applyNumberFormat="1" applyFill="1" applyBorder="1" applyAlignment="1">
      <alignment horizontal="center"/>
    </xf>
    <xf numFmtId="0" fontId="11" fillId="11" borderId="12" xfId="0" applyFont="1" applyFill="1" applyBorder="1" applyAlignment="1">
      <alignment horizontal="center"/>
    </xf>
    <xf numFmtId="0" fontId="48" fillId="11" borderId="71" xfId="0" applyFont="1" applyFill="1" applyBorder="1" applyAlignment="1">
      <alignment horizontal="center" wrapText="1"/>
    </xf>
    <xf numFmtId="49" fontId="11" fillId="11" borderId="72" xfId="76" applyNumberFormat="1" applyFill="1" applyBorder="1" applyAlignment="1">
      <alignment horizontal="center"/>
    </xf>
    <xf numFmtId="0" fontId="48" fillId="11" borderId="73" xfId="0" applyFont="1" applyFill="1" applyBorder="1" applyAlignment="1">
      <alignment horizontal="center" wrapText="1"/>
    </xf>
    <xf numFmtId="0" fontId="11" fillId="11" borderId="74" xfId="76" applyFill="1" applyBorder="1" applyAlignment="1">
      <alignment horizontal="center"/>
    </xf>
    <xf numFmtId="165" fontId="50" fillId="11" borderId="50" xfId="76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50" fillId="0" borderId="40" xfId="0" applyFont="1" applyBorder="1" applyAlignment="1">
      <alignment horizontal="center" vertical="center"/>
    </xf>
    <xf numFmtId="1" fontId="17" fillId="0" borderId="40" xfId="0" applyNumberFormat="1" applyFont="1" applyBorder="1" applyAlignment="1">
      <alignment horizontal="center" vertical="center"/>
    </xf>
    <xf numFmtId="2" fontId="17" fillId="0" borderId="40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2" fontId="50" fillId="0" borderId="6" xfId="0" applyNumberFormat="1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1" fontId="50" fillId="0" borderId="2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60" fillId="0" borderId="0" xfId="0" applyFont="1"/>
    <xf numFmtId="0" fontId="4" fillId="0" borderId="0" xfId="0" applyFont="1" applyAlignment="1">
      <alignment wrapText="1"/>
    </xf>
    <xf numFmtId="1" fontId="50" fillId="0" borderId="0" xfId="0" applyNumberFormat="1" applyFont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5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63" fillId="0" borderId="0" xfId="0" applyFont="1"/>
    <xf numFmtId="0" fontId="64" fillId="0" borderId="12" xfId="0" applyFont="1" applyBorder="1" applyAlignment="1">
      <alignment horizontal="center" vertical="center"/>
    </xf>
    <xf numFmtId="2" fontId="64" fillId="0" borderId="12" xfId="0" applyNumberFormat="1" applyFont="1" applyBorder="1" applyAlignment="1">
      <alignment horizontal="center" vertical="center"/>
    </xf>
    <xf numFmtId="0" fontId="64" fillId="0" borderId="11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0" fillId="13" borderId="0" xfId="0" applyFill="1"/>
    <xf numFmtId="0" fontId="4" fillId="0" borderId="57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165" fontId="64" fillId="0" borderId="12" xfId="0" applyNumberFormat="1" applyFont="1" applyBorder="1" applyAlignment="1">
      <alignment horizontal="center" vertical="center"/>
    </xf>
    <xf numFmtId="0" fontId="64" fillId="0" borderId="76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5" fillId="0" borderId="41" xfId="0" applyNumberFormat="1" applyFont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/>
    </xf>
    <xf numFmtId="0" fontId="17" fillId="0" borderId="46" xfId="0" applyFont="1" applyBorder="1" applyAlignment="1">
      <alignment horizontal="right" vertical="center"/>
    </xf>
    <xf numFmtId="0" fontId="65" fillId="13" borderId="0" xfId="0" applyFont="1" applyFill="1"/>
    <xf numFmtId="0" fontId="15" fillId="14" borderId="55" xfId="0" applyFont="1" applyFill="1" applyBorder="1" applyAlignment="1">
      <alignment horizontal="center"/>
    </xf>
    <xf numFmtId="0" fontId="7" fillId="13" borderId="12" xfId="0" applyFont="1" applyFill="1" applyBorder="1" applyAlignment="1">
      <alignment horizontal="center"/>
    </xf>
    <xf numFmtId="0" fontId="7" fillId="13" borderId="16" xfId="0" applyFont="1" applyFill="1" applyBorder="1" applyAlignment="1">
      <alignment horizontal="center"/>
    </xf>
    <xf numFmtId="0" fontId="7" fillId="13" borderId="30" xfId="0" applyFont="1" applyFill="1" applyBorder="1" applyAlignment="1">
      <alignment horizontal="center"/>
    </xf>
    <xf numFmtId="0" fontId="7" fillId="13" borderId="14" xfId="0" applyFont="1" applyFill="1" applyBorder="1" applyAlignment="1">
      <alignment horizontal="center"/>
    </xf>
    <xf numFmtId="165" fontId="7" fillId="13" borderId="12" xfId="0" applyNumberFormat="1" applyFont="1" applyFill="1" applyBorder="1" applyAlignment="1">
      <alignment horizontal="center"/>
    </xf>
    <xf numFmtId="1" fontId="7" fillId="13" borderId="12" xfId="0" applyNumberFormat="1" applyFont="1" applyFill="1" applyBorder="1" applyAlignment="1">
      <alignment horizontal="center"/>
    </xf>
    <xf numFmtId="0" fontId="7" fillId="13" borderId="30" xfId="0" applyFont="1" applyFill="1" applyBorder="1" applyAlignment="1">
      <alignment horizontal="center" vertical="center"/>
    </xf>
    <xf numFmtId="1" fontId="7" fillId="13" borderId="16" xfId="0" applyNumberFormat="1" applyFont="1" applyFill="1" applyBorder="1" applyAlignment="1">
      <alignment horizontal="center"/>
    </xf>
    <xf numFmtId="165" fontId="7" fillId="13" borderId="16" xfId="0" applyNumberFormat="1" applyFont="1" applyFill="1" applyBorder="1" applyAlignment="1">
      <alignment horizontal="center"/>
    </xf>
    <xf numFmtId="1" fontId="15" fillId="13" borderId="32" xfId="0" applyNumberFormat="1" applyFont="1" applyFill="1" applyBorder="1" applyAlignment="1">
      <alignment horizontal="center"/>
    </xf>
    <xf numFmtId="165" fontId="15" fillId="13" borderId="32" xfId="0" applyNumberFormat="1" applyFont="1" applyFill="1" applyBorder="1" applyAlignment="1">
      <alignment horizontal="center"/>
    </xf>
    <xf numFmtId="0" fontId="4" fillId="13" borderId="33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7" fillId="13" borderId="32" xfId="0" applyFont="1" applyFill="1" applyBorder="1" applyAlignment="1">
      <alignment horizontal="center" vertical="center" wrapText="1"/>
    </xf>
    <xf numFmtId="0" fontId="10" fillId="13" borderId="24" xfId="0" applyFont="1" applyFill="1" applyBorder="1" applyAlignment="1">
      <alignment horizontal="center" vertical="center" wrapText="1"/>
    </xf>
    <xf numFmtId="0" fontId="9" fillId="13" borderId="25" xfId="0" applyFont="1" applyFill="1" applyBorder="1" applyAlignment="1">
      <alignment horizontal="center" vertical="center"/>
    </xf>
    <xf numFmtId="0" fontId="0" fillId="13" borderId="0" xfId="0" applyFill="1" applyAlignment="1">
      <alignment horizontal="left"/>
    </xf>
    <xf numFmtId="0" fontId="7" fillId="13" borderId="32" xfId="0" applyFont="1" applyFill="1" applyBorder="1" applyAlignment="1">
      <alignment horizontal="center" vertical="center"/>
    </xf>
    <xf numFmtId="0" fontId="7" fillId="13" borderId="0" xfId="0" applyFont="1" applyFill="1" applyAlignment="1">
      <alignment horizontal="center" vertical="center"/>
    </xf>
    <xf numFmtId="0" fontId="5" fillId="13" borderId="8" xfId="0" applyFont="1" applyFill="1" applyBorder="1" applyAlignment="1">
      <alignment horizontal="center" vertical="center"/>
    </xf>
    <xf numFmtId="0" fontId="5" fillId="13" borderId="12" xfId="0" applyFont="1" applyFill="1" applyBorder="1" applyAlignment="1">
      <alignment horizontal="center" vertical="center"/>
    </xf>
    <xf numFmtId="0" fontId="5" fillId="13" borderId="16" xfId="0" applyFont="1" applyFill="1" applyBorder="1" applyAlignment="1">
      <alignment horizontal="center" vertical="center"/>
    </xf>
    <xf numFmtId="0" fontId="4" fillId="13" borderId="8" xfId="0" applyFont="1" applyFill="1" applyBorder="1" applyAlignment="1">
      <alignment horizontal="center" vertical="center"/>
    </xf>
    <xf numFmtId="0" fontId="4" fillId="13" borderId="35" xfId="0" applyFont="1" applyFill="1" applyBorder="1" applyAlignment="1">
      <alignment horizontal="center" vertical="center"/>
    </xf>
    <xf numFmtId="0" fontId="66" fillId="13" borderId="12" xfId="0" applyFont="1" applyFill="1" applyBorder="1" applyAlignment="1">
      <alignment horizontal="center" vertical="center"/>
    </xf>
    <xf numFmtId="0" fontId="67" fillId="13" borderId="12" xfId="0" applyFont="1" applyFill="1" applyBorder="1" applyAlignment="1">
      <alignment horizontal="center"/>
    </xf>
    <xf numFmtId="2" fontId="4" fillId="13" borderId="12" xfId="0" applyNumberFormat="1" applyFont="1" applyFill="1" applyBorder="1" applyAlignment="1">
      <alignment horizontal="center" vertical="center"/>
    </xf>
    <xf numFmtId="0" fontId="0" fillId="13" borderId="12" xfId="0" applyFill="1" applyBorder="1" applyAlignment="1">
      <alignment horizontal="center"/>
    </xf>
    <xf numFmtId="0" fontId="68" fillId="13" borderId="12" xfId="0" applyFont="1" applyFill="1" applyBorder="1" applyAlignment="1">
      <alignment horizontal="center"/>
    </xf>
    <xf numFmtId="0" fontId="4" fillId="13" borderId="12" xfId="0" applyFont="1" applyFill="1" applyBorder="1" applyAlignment="1">
      <alignment vertical="center" wrapText="1"/>
    </xf>
    <xf numFmtId="0" fontId="4" fillId="13" borderId="16" xfId="0" applyFont="1" applyFill="1" applyBorder="1" applyAlignment="1">
      <alignment vertical="center" wrapText="1"/>
    </xf>
    <xf numFmtId="0" fontId="4" fillId="13" borderId="32" xfId="0" applyFont="1" applyFill="1" applyBorder="1" applyAlignment="1">
      <alignment horizontal="center" vertical="center" wrapText="1"/>
    </xf>
    <xf numFmtId="0" fontId="9" fillId="0" borderId="80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13" borderId="32" xfId="0" applyFont="1" applyFill="1" applyBorder="1" applyAlignment="1">
      <alignment horizontal="center" vertical="center"/>
    </xf>
    <xf numFmtId="0" fontId="4" fillId="13" borderId="58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 wrapText="1"/>
    </xf>
    <xf numFmtId="0" fontId="4" fillId="0" borderId="83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/>
    </xf>
    <xf numFmtId="1" fontId="7" fillId="0" borderId="42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13" borderId="46" xfId="0" applyFont="1" applyFill="1" applyBorder="1" applyAlignment="1">
      <alignment horizontal="center" vertical="center" wrapText="1"/>
    </xf>
    <xf numFmtId="0" fontId="4" fillId="13" borderId="19" xfId="0" applyFont="1" applyFill="1" applyBorder="1" applyAlignment="1">
      <alignment horizontal="center" vertical="center"/>
    </xf>
    <xf numFmtId="0" fontId="16" fillId="13" borderId="32" xfId="0" applyFont="1" applyFill="1" applyBorder="1" applyAlignment="1">
      <alignment horizontal="center" vertical="center"/>
    </xf>
    <xf numFmtId="0" fontId="28" fillId="13" borderId="31" xfId="0" applyFont="1" applyFill="1" applyBorder="1" applyAlignment="1">
      <alignment horizontal="center"/>
    </xf>
    <xf numFmtId="0" fontId="69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64" fillId="13" borderId="5" xfId="0" applyFont="1" applyFill="1" applyBorder="1" applyAlignment="1">
      <alignment vertical="center" wrapText="1"/>
    </xf>
    <xf numFmtId="0" fontId="64" fillId="13" borderId="32" xfId="0" applyFont="1" applyFill="1" applyBorder="1" applyAlignment="1">
      <alignment horizontal="center" vertical="center"/>
    </xf>
    <xf numFmtId="0" fontId="64" fillId="13" borderId="32" xfId="0" applyFont="1" applyFill="1" applyBorder="1" applyAlignment="1">
      <alignment horizontal="center" vertical="center" wrapText="1"/>
    </xf>
    <xf numFmtId="0" fontId="71" fillId="13" borderId="32" xfId="0" applyFont="1" applyFill="1" applyBorder="1" applyAlignment="1">
      <alignment horizontal="center" vertical="center" wrapText="1"/>
    </xf>
    <xf numFmtId="0" fontId="72" fillId="0" borderId="24" xfId="0" applyFont="1" applyBorder="1" applyAlignment="1">
      <alignment horizontal="center" vertical="center" wrapText="1"/>
    </xf>
    <xf numFmtId="0" fontId="72" fillId="0" borderId="25" xfId="0" applyFont="1" applyBorder="1" applyAlignment="1">
      <alignment horizontal="center" vertical="center" wrapText="1"/>
    </xf>
    <xf numFmtId="0" fontId="72" fillId="0" borderId="25" xfId="0" applyFont="1" applyBorder="1" applyAlignment="1">
      <alignment horizontal="center" vertical="center"/>
    </xf>
    <xf numFmtId="0" fontId="72" fillId="0" borderId="5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/>
    </xf>
    <xf numFmtId="0" fontId="64" fillId="12" borderId="53" xfId="0" applyFont="1" applyFill="1" applyBorder="1" applyAlignment="1">
      <alignment vertical="center"/>
    </xf>
    <xf numFmtId="0" fontId="64" fillId="0" borderId="43" xfId="0" applyFont="1" applyBorder="1" applyAlignment="1">
      <alignment vertical="center"/>
    </xf>
    <xf numFmtId="0" fontId="64" fillId="0" borderId="44" xfId="0" applyFont="1" applyBorder="1" applyAlignment="1">
      <alignment vertical="center"/>
    </xf>
    <xf numFmtId="0" fontId="64" fillId="0" borderId="27" xfId="0" applyFont="1" applyBorder="1" applyAlignment="1">
      <alignment horizontal="center"/>
    </xf>
    <xf numFmtId="165" fontId="64" fillId="0" borderId="40" xfId="0" applyNumberFormat="1" applyFont="1" applyBorder="1" applyAlignment="1">
      <alignment horizontal="center" vertical="center"/>
    </xf>
    <xf numFmtId="2" fontId="64" fillId="0" borderId="40" xfId="0" applyNumberFormat="1" applyFont="1" applyBorder="1" applyAlignment="1">
      <alignment horizontal="center" vertical="center"/>
    </xf>
    <xf numFmtId="1" fontId="64" fillId="0" borderId="40" xfId="0" applyNumberFormat="1" applyFont="1" applyBorder="1" applyAlignment="1">
      <alignment horizontal="center" vertical="center"/>
    </xf>
    <xf numFmtId="1" fontId="64" fillId="0" borderId="12" xfId="0" applyNumberFormat="1" applyFont="1" applyBorder="1" applyAlignment="1">
      <alignment horizontal="center" vertical="center"/>
    </xf>
    <xf numFmtId="0" fontId="73" fillId="0" borderId="11" xfId="0" applyFont="1" applyBorder="1" applyAlignment="1">
      <alignment horizontal="center" vertical="center"/>
    </xf>
    <xf numFmtId="0" fontId="64" fillId="0" borderId="15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77" xfId="0" applyFont="1" applyBorder="1" applyAlignment="1">
      <alignment horizontal="center"/>
    </xf>
    <xf numFmtId="1" fontId="73" fillId="10" borderId="51" xfId="0" applyNumberFormat="1" applyFont="1" applyFill="1" applyBorder="1" applyAlignment="1">
      <alignment horizontal="center" vertical="center"/>
    </xf>
    <xf numFmtId="1" fontId="73" fillId="10" borderId="25" xfId="0" applyNumberFormat="1" applyFont="1" applyFill="1" applyBorder="1" applyAlignment="1">
      <alignment horizontal="center" vertical="center"/>
    </xf>
    <xf numFmtId="0" fontId="64" fillId="10" borderId="25" xfId="0" applyFont="1" applyFill="1" applyBorder="1" applyAlignment="1">
      <alignment horizontal="center" vertical="center"/>
    </xf>
    <xf numFmtId="0" fontId="64" fillId="0" borderId="28" xfId="0" applyFont="1" applyBorder="1" applyAlignment="1">
      <alignment horizontal="center"/>
    </xf>
    <xf numFmtId="1" fontId="73" fillId="9" borderId="51" xfId="0" applyNumberFormat="1" applyFont="1" applyFill="1" applyBorder="1" applyAlignment="1">
      <alignment horizontal="center" vertical="center"/>
    </xf>
    <xf numFmtId="0" fontId="73" fillId="9" borderId="25" xfId="0" applyFont="1" applyFill="1" applyBorder="1" applyAlignment="1">
      <alignment horizontal="center" vertical="center"/>
    </xf>
    <xf numFmtId="1" fontId="73" fillId="9" borderId="25" xfId="0" applyNumberFormat="1" applyFont="1" applyFill="1" applyBorder="1" applyAlignment="1">
      <alignment horizontal="center" vertical="center"/>
    </xf>
    <xf numFmtId="0" fontId="64" fillId="9" borderId="5" xfId="0" applyFont="1" applyFill="1" applyBorder="1" applyAlignment="1">
      <alignment horizontal="center" vertical="center"/>
    </xf>
    <xf numFmtId="0" fontId="64" fillId="0" borderId="0" xfId="0" applyFont="1"/>
    <xf numFmtId="0" fontId="64" fillId="0" borderId="0" xfId="0" applyFont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4" fillId="13" borderId="0" xfId="0" applyFont="1" applyFill="1" applyAlignment="1">
      <alignment vertical="center"/>
    </xf>
    <xf numFmtId="0" fontId="7" fillId="13" borderId="46" xfId="0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center" vertical="center" wrapText="1"/>
    </xf>
    <xf numFmtId="2" fontId="16" fillId="0" borderId="40" xfId="0" applyNumberFormat="1" applyFont="1" applyBorder="1" applyAlignment="1">
      <alignment horizontal="center" vertical="center"/>
    </xf>
    <xf numFmtId="1" fontId="16" fillId="0" borderId="40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2" fontId="5" fillId="0" borderId="24" xfId="0" applyNumberFormat="1" applyFont="1" applyBorder="1" applyAlignment="1">
      <alignment horizontal="center" vertical="center"/>
    </xf>
    <xf numFmtId="0" fontId="4" fillId="13" borderId="47" xfId="0" applyFont="1" applyFill="1" applyBorder="1" applyAlignment="1">
      <alignment horizontal="center" vertical="center"/>
    </xf>
    <xf numFmtId="0" fontId="4" fillId="13" borderId="39" xfId="0" applyFont="1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10" fillId="13" borderId="25" xfId="0" applyFont="1" applyFill="1" applyBorder="1" applyAlignment="1">
      <alignment horizontal="center" vertical="center"/>
    </xf>
    <xf numFmtId="0" fontId="10" fillId="13" borderId="62" xfId="0" applyFont="1" applyFill="1" applyBorder="1" applyAlignment="1">
      <alignment horizontal="center" vertical="center"/>
    </xf>
    <xf numFmtId="0" fontId="10" fillId="13" borderId="12" xfId="0" applyFont="1" applyFill="1" applyBorder="1" applyAlignment="1">
      <alignment horizontal="center" vertical="center"/>
    </xf>
    <xf numFmtId="2" fontId="4" fillId="13" borderId="16" xfId="0" applyNumberFormat="1" applyFont="1" applyFill="1" applyBorder="1" applyAlignment="1">
      <alignment horizontal="center" vertical="center"/>
    </xf>
    <xf numFmtId="2" fontId="17" fillId="13" borderId="25" xfId="0" applyNumberFormat="1" applyFont="1" applyFill="1" applyBorder="1" applyAlignment="1">
      <alignment horizontal="center" vertical="center"/>
    </xf>
    <xf numFmtId="2" fontId="17" fillId="13" borderId="8" xfId="0" applyNumberFormat="1" applyFont="1" applyFill="1" applyBorder="1" applyAlignment="1">
      <alignment horizontal="center" vertical="center"/>
    </xf>
    <xf numFmtId="2" fontId="17" fillId="13" borderId="16" xfId="0" applyNumberFormat="1" applyFont="1" applyFill="1" applyBorder="1" applyAlignment="1">
      <alignment horizontal="center" vertical="center"/>
    </xf>
    <xf numFmtId="2" fontId="17" fillId="13" borderId="35" xfId="0" applyNumberFormat="1" applyFont="1" applyFill="1" applyBorder="1" applyAlignment="1">
      <alignment horizontal="center" vertical="center"/>
    </xf>
    <xf numFmtId="2" fontId="17" fillId="13" borderId="12" xfId="0" applyNumberFormat="1" applyFont="1" applyFill="1" applyBorder="1" applyAlignment="1">
      <alignment horizontal="center" vertical="center"/>
    </xf>
    <xf numFmtId="2" fontId="0" fillId="15" borderId="48" xfId="0" applyNumberFormat="1" applyFill="1" applyBorder="1" applyAlignment="1">
      <alignment horizontal="center"/>
    </xf>
    <xf numFmtId="2" fontId="17" fillId="13" borderId="40" xfId="0" applyNumberFormat="1" applyFont="1" applyFill="1" applyBorder="1" applyAlignment="1">
      <alignment horizontal="center" vertical="center"/>
    </xf>
    <xf numFmtId="2" fontId="4" fillId="13" borderId="8" xfId="0" applyNumberFormat="1" applyFont="1" applyFill="1" applyBorder="1" applyAlignment="1">
      <alignment horizontal="center" vertical="center"/>
    </xf>
    <xf numFmtId="2" fontId="17" fillId="13" borderId="62" xfId="0" applyNumberFormat="1" applyFont="1" applyFill="1" applyBorder="1" applyAlignment="1">
      <alignment horizontal="center" vertical="center"/>
    </xf>
    <xf numFmtId="2" fontId="17" fillId="13" borderId="21" xfId="0" applyNumberFormat="1" applyFont="1" applyFill="1" applyBorder="1" applyAlignment="1">
      <alignment horizontal="center" vertical="center"/>
    </xf>
    <xf numFmtId="2" fontId="4" fillId="13" borderId="35" xfId="0" applyNumberFormat="1" applyFont="1" applyFill="1" applyBorder="1" applyAlignment="1">
      <alignment horizontal="center" vertical="center"/>
    </xf>
    <xf numFmtId="2" fontId="4" fillId="13" borderId="40" xfId="0" applyNumberFormat="1" applyFont="1" applyFill="1" applyBorder="1" applyAlignment="1">
      <alignment horizontal="center" vertical="center"/>
    </xf>
    <xf numFmtId="0" fontId="4" fillId="13" borderId="40" xfId="0" applyFont="1" applyFill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65" fillId="0" borderId="0" xfId="0" applyFont="1"/>
    <xf numFmtId="0" fontId="62" fillId="0" borderId="0" xfId="0" applyFont="1"/>
    <xf numFmtId="1" fontId="4" fillId="0" borderId="6" xfId="0" applyNumberFormat="1" applyFont="1" applyBorder="1" applyAlignment="1">
      <alignment horizontal="center" vertical="center" wrapText="1"/>
    </xf>
    <xf numFmtId="1" fontId="4" fillId="0" borderId="38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1" fontId="17" fillId="13" borderId="40" xfId="0" applyNumberFormat="1" applyFont="1" applyFill="1" applyBorder="1" applyAlignment="1">
      <alignment horizontal="center" vertical="center"/>
    </xf>
    <xf numFmtId="1" fontId="17" fillId="13" borderId="1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1" fontId="50" fillId="11" borderId="84" xfId="76" applyNumberFormat="1" applyFont="1" applyFill="1" applyBorder="1" applyAlignment="1">
      <alignment horizontal="center"/>
    </xf>
    <xf numFmtId="1" fontId="11" fillId="11" borderId="85" xfId="76" applyNumberFormat="1" applyFill="1" applyBorder="1" applyAlignment="1">
      <alignment horizontal="center"/>
    </xf>
    <xf numFmtId="1" fontId="11" fillId="11" borderId="86" xfId="76" applyNumberFormat="1" applyFill="1" applyBorder="1" applyAlignment="1">
      <alignment horizontal="center"/>
    </xf>
    <xf numFmtId="1" fontId="11" fillId="11" borderId="15" xfId="76" applyNumberFormat="1" applyFill="1" applyBorder="1" applyAlignment="1">
      <alignment horizontal="center"/>
    </xf>
    <xf numFmtId="1" fontId="11" fillId="11" borderId="46" xfId="76" applyNumberForma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1" fontId="4" fillId="0" borderId="21" xfId="0" applyNumberFormat="1" applyFont="1" applyBorder="1"/>
    <xf numFmtId="2" fontId="54" fillId="0" borderId="1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75" fillId="0" borderId="12" xfId="0" applyFont="1" applyBorder="1" applyAlignment="1">
      <alignment horizontal="center" vertical="center" wrapText="1"/>
    </xf>
    <xf numFmtId="0" fontId="76" fillId="0" borderId="12" xfId="0" applyFont="1" applyBorder="1" applyAlignment="1">
      <alignment horizontal="center" vertical="center" wrapText="1"/>
    </xf>
    <xf numFmtId="1" fontId="17" fillId="13" borderId="62" xfId="0" applyNumberFormat="1" applyFont="1" applyFill="1" applyBorder="1" applyAlignment="1">
      <alignment horizontal="center" vertical="center"/>
    </xf>
    <xf numFmtId="1" fontId="17" fillId="13" borderId="21" xfId="0" applyNumberFormat="1" applyFont="1" applyFill="1" applyBorder="1" applyAlignment="1">
      <alignment horizontal="center" vertical="center"/>
    </xf>
    <xf numFmtId="1" fontId="17" fillId="13" borderId="12" xfId="0" applyNumberFormat="1" applyFont="1" applyFill="1" applyBorder="1" applyAlignment="1">
      <alignment horizontal="center" vertical="center"/>
    </xf>
    <xf numFmtId="1" fontId="17" fillId="13" borderId="8" xfId="0" applyNumberFormat="1" applyFont="1" applyFill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/>
    </xf>
    <xf numFmtId="1" fontId="5" fillId="0" borderId="21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1" fontId="4" fillId="0" borderId="4" xfId="0" applyNumberFormat="1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16" fillId="0" borderId="8" xfId="0" applyNumberFormat="1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" fontId="17" fillId="0" borderId="37" xfId="0" applyNumberFormat="1" applyFont="1" applyBorder="1" applyAlignment="1">
      <alignment horizontal="center" vertical="center"/>
    </xf>
    <xf numFmtId="0" fontId="5" fillId="9" borderId="46" xfId="0" applyFont="1" applyFill="1" applyBorder="1"/>
    <xf numFmtId="0" fontId="5" fillId="9" borderId="19" xfId="0" applyFont="1" applyFill="1" applyBorder="1"/>
    <xf numFmtId="0" fontId="5" fillId="9" borderId="31" xfId="0" applyFont="1" applyFill="1" applyBorder="1"/>
    <xf numFmtId="1" fontId="4" fillId="13" borderId="12" xfId="0" applyNumberFormat="1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8" fillId="14" borderId="46" xfId="0" applyFont="1" applyFill="1" applyBorder="1"/>
    <xf numFmtId="0" fontId="28" fillId="14" borderId="19" xfId="0" applyFont="1" applyFill="1" applyBorder="1"/>
    <xf numFmtId="0" fontId="0" fillId="14" borderId="31" xfId="0" applyFill="1" applyBorder="1"/>
    <xf numFmtId="0" fontId="28" fillId="14" borderId="34" xfId="0" applyFont="1" applyFill="1" applyBorder="1"/>
    <xf numFmtId="0" fontId="28" fillId="14" borderId="0" xfId="0" applyFont="1" applyFill="1"/>
    <xf numFmtId="0" fontId="0" fillId="14" borderId="63" xfId="0" applyFill="1" applyBorder="1"/>
    <xf numFmtId="0" fontId="28" fillId="14" borderId="79" xfId="0" applyFont="1" applyFill="1" applyBorder="1"/>
    <xf numFmtId="0" fontId="28" fillId="14" borderId="58" xfId="0" applyFont="1" applyFill="1" applyBorder="1"/>
    <xf numFmtId="0" fontId="0" fillId="14" borderId="59" xfId="0" applyFill="1" applyBorder="1"/>
    <xf numFmtId="1" fontId="4" fillId="0" borderId="65" xfId="0" applyNumberFormat="1" applyFont="1" applyBorder="1" applyAlignment="1">
      <alignment horizontal="center" vertical="center"/>
    </xf>
    <xf numFmtId="0" fontId="0" fillId="16" borderId="0" xfId="0" applyFill="1"/>
    <xf numFmtId="0" fontId="10" fillId="16" borderId="5" xfId="0" applyFont="1" applyFill="1" applyBorder="1" applyAlignment="1">
      <alignment horizontal="center"/>
    </xf>
    <xf numFmtId="1" fontId="23" fillId="16" borderId="80" xfId="0" applyNumberFormat="1" applyFont="1" applyFill="1" applyBorder="1" applyAlignment="1">
      <alignment horizontal="center" vertical="center"/>
    </xf>
    <xf numFmtId="0" fontId="5" fillId="16" borderId="53" xfId="0" applyFont="1" applyFill="1" applyBorder="1" applyAlignment="1">
      <alignment horizontal="center" vertical="center"/>
    </xf>
    <xf numFmtId="0" fontId="5" fillId="16" borderId="82" xfId="0" applyFont="1" applyFill="1" applyBorder="1" applyAlignment="1">
      <alignment horizontal="center" vertical="center"/>
    </xf>
    <xf numFmtId="1" fontId="5" fillId="16" borderId="20" xfId="0" applyNumberFormat="1" applyFont="1" applyFill="1" applyBorder="1" applyAlignment="1">
      <alignment horizontal="center" vertical="center"/>
    </xf>
    <xf numFmtId="1" fontId="5" fillId="16" borderId="11" xfId="0" applyNumberFormat="1" applyFont="1" applyFill="1" applyBorder="1" applyAlignment="1">
      <alignment horizontal="center" vertical="center"/>
    </xf>
    <xf numFmtId="1" fontId="5" fillId="16" borderId="15" xfId="0" applyNumberFormat="1" applyFont="1" applyFill="1" applyBorder="1" applyAlignment="1">
      <alignment horizontal="center" vertical="center"/>
    </xf>
    <xf numFmtId="1" fontId="5" fillId="16" borderId="29" xfId="0" applyNumberFormat="1" applyFont="1" applyFill="1" applyBorder="1" applyAlignment="1">
      <alignment horizontal="center" vertical="center"/>
    </xf>
    <xf numFmtId="0" fontId="4" fillId="16" borderId="26" xfId="0" applyFont="1" applyFill="1" applyBorder="1" applyAlignment="1">
      <alignment horizontal="center" wrapText="1"/>
    </xf>
    <xf numFmtId="0" fontId="4" fillId="16" borderId="28" xfId="0" applyFont="1" applyFill="1" applyBorder="1" applyAlignment="1">
      <alignment horizontal="center" wrapText="1"/>
    </xf>
    <xf numFmtId="0" fontId="9" fillId="16" borderId="5" xfId="0" applyFont="1" applyFill="1" applyBorder="1" applyAlignment="1">
      <alignment horizontal="center"/>
    </xf>
    <xf numFmtId="0" fontId="4" fillId="16" borderId="35" xfId="0" applyFont="1" applyFill="1" applyBorder="1" applyAlignment="1">
      <alignment horizontal="center" vertical="center"/>
    </xf>
    <xf numFmtId="1" fontId="17" fillId="16" borderId="26" xfId="0" applyNumberFormat="1" applyFont="1" applyFill="1" applyBorder="1" applyAlignment="1">
      <alignment horizontal="center" vertical="center"/>
    </xf>
    <xf numFmtId="0" fontId="17" fillId="16" borderId="28" xfId="0" applyFont="1" applyFill="1" applyBorder="1" applyAlignment="1">
      <alignment horizontal="center" vertical="center"/>
    </xf>
    <xf numFmtId="1" fontId="1" fillId="16" borderId="39" xfId="0" applyNumberFormat="1" applyFont="1" applyFill="1" applyBorder="1" applyAlignment="1">
      <alignment horizontal="center" vertical="center"/>
    </xf>
    <xf numFmtId="1" fontId="5" fillId="16" borderId="26" xfId="0" applyNumberFormat="1" applyFont="1" applyFill="1" applyBorder="1" applyAlignment="1">
      <alignment horizontal="center" vertical="center"/>
    </xf>
    <xf numFmtId="1" fontId="5" fillId="16" borderId="38" xfId="0" applyNumberFormat="1" applyFont="1" applyFill="1" applyBorder="1" applyAlignment="1">
      <alignment horizontal="center" vertical="center"/>
    </xf>
    <xf numFmtId="1" fontId="5" fillId="16" borderId="27" xfId="0" applyNumberFormat="1" applyFont="1" applyFill="1" applyBorder="1" applyAlignment="1">
      <alignment horizontal="center" vertical="center"/>
    </xf>
    <xf numFmtId="1" fontId="5" fillId="16" borderId="28" xfId="0" applyNumberFormat="1" applyFont="1" applyFill="1" applyBorder="1" applyAlignment="1">
      <alignment horizontal="center" vertical="center"/>
    </xf>
    <xf numFmtId="1" fontId="5" fillId="16" borderId="39" xfId="0" applyNumberFormat="1" applyFont="1" applyFill="1" applyBorder="1" applyAlignment="1">
      <alignment horizontal="center"/>
    </xf>
    <xf numFmtId="0" fontId="5" fillId="16" borderId="27" xfId="0" applyFont="1" applyFill="1" applyBorder="1" applyAlignment="1">
      <alignment horizontal="center" vertical="center"/>
    </xf>
    <xf numFmtId="0" fontId="5" fillId="16" borderId="39" xfId="0" applyFont="1" applyFill="1" applyBorder="1" applyAlignment="1">
      <alignment horizontal="center" vertical="center"/>
    </xf>
    <xf numFmtId="166" fontId="28" fillId="16" borderId="31" xfId="0" applyNumberFormat="1" applyFont="1" applyFill="1" applyBorder="1" applyAlignment="1">
      <alignment horizontal="center" vertical="center"/>
    </xf>
    <xf numFmtId="1" fontId="16" fillId="0" borderId="65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" fontId="17" fillId="16" borderId="20" xfId="0" applyNumberFormat="1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1" fontId="16" fillId="16" borderId="11" xfId="0" applyNumberFormat="1" applyFont="1" applyFill="1" applyBorder="1" applyAlignment="1">
      <alignment horizontal="center" vertical="center"/>
    </xf>
    <xf numFmtId="1" fontId="17" fillId="16" borderId="11" xfId="0" applyNumberFormat="1" applyFont="1" applyFill="1" applyBorder="1" applyAlignment="1">
      <alignment horizontal="center" vertical="center"/>
    </xf>
    <xf numFmtId="0" fontId="75" fillId="0" borderId="10" xfId="0" applyFont="1" applyBorder="1" applyAlignment="1">
      <alignment horizontal="center" vertical="center" wrapText="1"/>
    </xf>
    <xf numFmtId="1" fontId="16" fillId="0" borderId="15" xfId="0" applyNumberFormat="1" applyFont="1" applyBorder="1" applyAlignment="1">
      <alignment horizontal="center" vertical="center"/>
    </xf>
    <xf numFmtId="1" fontId="16" fillId="0" borderId="16" xfId="0" applyNumberFormat="1" applyFont="1" applyBorder="1" applyAlignment="1">
      <alignment horizontal="center" vertical="center"/>
    </xf>
    <xf numFmtId="0" fontId="15" fillId="14" borderId="18" xfId="0" applyFont="1" applyFill="1" applyBorder="1" applyAlignment="1">
      <alignment horizontal="center"/>
    </xf>
    <xf numFmtId="0" fontId="27" fillId="14" borderId="12" xfId="0" applyFont="1" applyFill="1" applyBorder="1" applyAlignment="1">
      <alignment horizontal="center"/>
    </xf>
    <xf numFmtId="0" fontId="15" fillId="14" borderId="12" xfId="0" applyFont="1" applyFill="1" applyBorder="1" applyAlignment="1">
      <alignment horizontal="center"/>
    </xf>
    <xf numFmtId="1" fontId="15" fillId="14" borderId="12" xfId="0" applyNumberFormat="1" applyFont="1" applyFill="1" applyBorder="1" applyAlignment="1">
      <alignment horizontal="center"/>
    </xf>
    <xf numFmtId="1" fontId="15" fillId="14" borderId="10" xfId="0" applyNumberFormat="1" applyFont="1" applyFill="1" applyBorder="1" applyAlignment="1">
      <alignment horizontal="center"/>
    </xf>
    <xf numFmtId="0" fontId="15" fillId="14" borderId="31" xfId="0" applyFont="1" applyFill="1" applyBorder="1" applyAlignment="1">
      <alignment horizontal="center" vertical="center"/>
    </xf>
    <xf numFmtId="0" fontId="7" fillId="14" borderId="51" xfId="0" applyFont="1" applyFill="1" applyBorder="1" applyAlignment="1">
      <alignment horizontal="center" vertical="center"/>
    </xf>
    <xf numFmtId="0" fontId="7" fillId="14" borderId="29" xfId="0" applyFont="1" applyFill="1" applyBorder="1" applyAlignment="1">
      <alignment horizontal="center" vertical="center"/>
    </xf>
    <xf numFmtId="0" fontId="15" fillId="14" borderId="32" xfId="0" applyFont="1" applyFill="1" applyBorder="1" applyAlignment="1">
      <alignment horizontal="center" vertical="center"/>
    </xf>
    <xf numFmtId="0" fontId="15" fillId="14" borderId="19" xfId="0" applyFont="1" applyFill="1" applyBorder="1" applyAlignment="1">
      <alignment horizontal="center" vertical="center"/>
    </xf>
    <xf numFmtId="1" fontId="15" fillId="14" borderId="32" xfId="0" applyNumberFormat="1" applyFont="1" applyFill="1" applyBorder="1" applyAlignment="1">
      <alignment horizontal="center" vertical="center"/>
    </xf>
    <xf numFmtId="1" fontId="15" fillId="14" borderId="19" xfId="0" applyNumberFormat="1" applyFont="1" applyFill="1" applyBorder="1" applyAlignment="1">
      <alignment horizontal="center" vertical="center"/>
    </xf>
    <xf numFmtId="2" fontId="4" fillId="13" borderId="10" xfId="0" applyNumberFormat="1" applyFont="1" applyFill="1" applyBorder="1" applyAlignment="1">
      <alignment horizontal="center" vertical="center"/>
    </xf>
    <xf numFmtId="2" fontId="4" fillId="13" borderId="11" xfId="0" applyNumberFormat="1" applyFont="1" applyFill="1" applyBorder="1" applyAlignment="1">
      <alignment horizontal="center" vertical="center"/>
    </xf>
    <xf numFmtId="2" fontId="5" fillId="13" borderId="60" xfId="0" applyNumberFormat="1" applyFont="1" applyFill="1" applyBorder="1" applyAlignment="1">
      <alignment horizontal="center" vertical="center"/>
    </xf>
    <xf numFmtId="2" fontId="4" fillId="13" borderId="13" xfId="0" applyNumberFormat="1" applyFont="1" applyFill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0" fillId="11" borderId="50" xfId="76" applyNumberFormat="1" applyFont="1" applyFill="1" applyBorder="1" applyAlignment="1">
      <alignment horizontal="center"/>
    </xf>
    <xf numFmtId="2" fontId="5" fillId="13" borderId="8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5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4" fillId="13" borderId="0" xfId="0" applyNumberFormat="1" applyFont="1" applyFill="1" applyAlignment="1">
      <alignment horizontal="center" vertical="center"/>
    </xf>
    <xf numFmtId="1" fontId="4" fillId="0" borderId="35" xfId="0" applyNumberFormat="1" applyFont="1" applyBorder="1" applyAlignment="1">
      <alignment horizontal="center" vertical="center"/>
    </xf>
    <xf numFmtId="1" fontId="17" fillId="16" borderId="27" xfId="0" applyNumberFormat="1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center" vertical="center"/>
    </xf>
    <xf numFmtId="1" fontId="15" fillId="0" borderId="40" xfId="0" applyNumberFormat="1" applyFont="1" applyBorder="1" applyAlignment="1">
      <alignment horizontal="center" vertical="center"/>
    </xf>
    <xf numFmtId="2" fontId="15" fillId="0" borderId="40" xfId="0" applyNumberFormat="1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1" fontId="4" fillId="0" borderId="41" xfId="0" applyNumberFormat="1" applyFont="1" applyBorder="1" applyAlignment="1">
      <alignment horizontal="center" vertical="center"/>
    </xf>
    <xf numFmtId="1" fontId="4" fillId="0" borderId="76" xfId="0" applyNumberFormat="1" applyFont="1" applyBorder="1" applyAlignment="1">
      <alignment horizontal="center" vertical="center"/>
    </xf>
    <xf numFmtId="0" fontId="0" fillId="15" borderId="48" xfId="0" applyFill="1" applyBorder="1" applyAlignment="1">
      <alignment horizontal="center"/>
    </xf>
    <xf numFmtId="0" fontId="7" fillId="13" borderId="12" xfId="0" applyFont="1" applyFill="1" applyBorder="1" applyAlignment="1">
      <alignment horizontal="center" vertical="center"/>
    </xf>
    <xf numFmtId="165" fontId="11" fillId="15" borderId="48" xfId="76" applyNumberFormat="1" applyFill="1" applyBorder="1" applyAlignment="1">
      <alignment horizontal="center"/>
    </xf>
    <xf numFmtId="165" fontId="0" fillId="15" borderId="48" xfId="0" applyNumberFormat="1" applyFill="1" applyBorder="1" applyAlignment="1">
      <alignment horizontal="center"/>
    </xf>
    <xf numFmtId="1" fontId="7" fillId="13" borderId="12" xfId="0" applyNumberFormat="1" applyFont="1" applyFill="1" applyBorder="1" applyAlignment="1">
      <alignment horizontal="center" vertical="center"/>
    </xf>
    <xf numFmtId="1" fontId="4" fillId="13" borderId="12" xfId="0" applyNumberFormat="1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1" fontId="17" fillId="13" borderId="25" xfId="0" applyNumberFormat="1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13" borderId="16" xfId="0" applyFont="1" applyFill="1" applyBorder="1" applyAlignment="1">
      <alignment horizontal="center" vertical="center"/>
    </xf>
    <xf numFmtId="0" fontId="4" fillId="13" borderId="14" xfId="0" applyFont="1" applyFill="1" applyBorder="1" applyAlignment="1">
      <alignment horizontal="center" vertical="center"/>
    </xf>
    <xf numFmtId="0" fontId="4" fillId="13" borderId="25" xfId="0" applyFont="1" applyFill="1" applyBorder="1" applyAlignment="1">
      <alignment horizontal="center" vertical="center"/>
    </xf>
    <xf numFmtId="0" fontId="4" fillId="13" borderId="5" xfId="0" applyFont="1" applyFill="1" applyBorder="1" applyAlignment="1">
      <alignment horizontal="center" vertical="center"/>
    </xf>
    <xf numFmtId="0" fontId="7" fillId="13" borderId="24" xfId="0" applyFont="1" applyFill="1" applyBorder="1" applyAlignment="1">
      <alignment horizontal="center" vertical="center" wrapText="1"/>
    </xf>
    <xf numFmtId="0" fontId="7" fillId="13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0" fillId="15" borderId="52" xfId="0" applyFill="1" applyBorder="1" applyAlignment="1">
      <alignment horizontal="center"/>
    </xf>
    <xf numFmtId="2" fontId="0" fillId="15" borderId="52" xfId="0" applyNumberFormat="1" applyFill="1" applyBorder="1" applyAlignment="1">
      <alignment horizontal="center"/>
    </xf>
    <xf numFmtId="165" fontId="0" fillId="15" borderId="52" xfId="0" applyNumberFormat="1" applyFill="1" applyBorder="1" applyAlignment="1">
      <alignment horizontal="center"/>
    </xf>
    <xf numFmtId="1" fontId="7" fillId="13" borderId="40" xfId="0" applyNumberFormat="1" applyFont="1" applyFill="1" applyBorder="1" applyAlignment="1">
      <alignment horizontal="center" vertical="center"/>
    </xf>
    <xf numFmtId="1" fontId="4" fillId="13" borderId="40" xfId="0" applyNumberFormat="1" applyFont="1" applyFill="1" applyBorder="1" applyAlignment="1">
      <alignment horizontal="center" vertical="center"/>
    </xf>
    <xf numFmtId="0" fontId="4" fillId="13" borderId="41" xfId="0" applyFont="1" applyFill="1" applyBorder="1" applyAlignment="1">
      <alignment horizontal="center" vertical="center"/>
    </xf>
    <xf numFmtId="0" fontId="7" fillId="13" borderId="16" xfId="0" applyFont="1" applyFill="1" applyBorder="1" applyAlignment="1">
      <alignment horizontal="center" vertical="center"/>
    </xf>
    <xf numFmtId="1" fontId="7" fillId="13" borderId="16" xfId="0" applyNumberFormat="1" applyFont="1" applyFill="1" applyBorder="1" applyAlignment="1">
      <alignment horizontal="center" vertical="center"/>
    </xf>
    <xf numFmtId="1" fontId="4" fillId="13" borderId="16" xfId="0" applyNumberFormat="1" applyFont="1" applyFill="1" applyBorder="1" applyAlignment="1">
      <alignment horizontal="center" vertical="center"/>
    </xf>
    <xf numFmtId="0" fontId="50" fillId="15" borderId="4" xfId="76" applyFont="1" applyFill="1" applyBorder="1" applyAlignment="1">
      <alignment horizontal="center"/>
    </xf>
    <xf numFmtId="165" fontId="50" fillId="15" borderId="4" xfId="76" applyNumberFormat="1" applyFont="1" applyFill="1" applyBorder="1" applyAlignment="1">
      <alignment horizontal="center"/>
    </xf>
    <xf numFmtId="2" fontId="17" fillId="13" borderId="4" xfId="0" applyNumberFormat="1" applyFont="1" applyFill="1" applyBorder="1" applyAlignment="1">
      <alignment horizontal="center" vertical="center"/>
    </xf>
    <xf numFmtId="1" fontId="11" fillId="15" borderId="7" xfId="76" applyNumberFormat="1" applyFill="1" applyBorder="1" applyAlignment="1">
      <alignment horizontal="center"/>
    </xf>
    <xf numFmtId="0" fontId="17" fillId="13" borderId="8" xfId="0" applyFont="1" applyFill="1" applyBorder="1" applyAlignment="1">
      <alignment horizontal="center" vertical="center"/>
    </xf>
    <xf numFmtId="0" fontId="50" fillId="13" borderId="8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7" fillId="13" borderId="40" xfId="0" applyFont="1" applyFill="1" applyBorder="1" applyAlignment="1">
      <alignment horizontal="center" vertical="center"/>
    </xf>
    <xf numFmtId="0" fontId="17" fillId="13" borderId="40" xfId="0" applyFont="1" applyFill="1" applyBorder="1" applyAlignment="1">
      <alignment horizontal="center" vertical="center"/>
    </xf>
    <xf numFmtId="0" fontId="50" fillId="13" borderId="40" xfId="0" applyFont="1" applyFill="1" applyBorder="1" applyAlignment="1">
      <alignment horizontal="center" vertical="center"/>
    </xf>
    <xf numFmtId="0" fontId="17" fillId="13" borderId="41" xfId="0" applyFont="1" applyFill="1" applyBorder="1" applyAlignment="1">
      <alignment horizontal="center" vertical="center"/>
    </xf>
    <xf numFmtId="0" fontId="17" fillId="13" borderId="16" xfId="0" applyFont="1" applyFill="1" applyBorder="1" applyAlignment="1">
      <alignment horizontal="center" vertical="center"/>
    </xf>
    <xf numFmtId="0" fontId="50" fillId="13" borderId="16" xfId="0" applyFont="1" applyFill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/>
    </xf>
    <xf numFmtId="0" fontId="4" fillId="13" borderId="87" xfId="0" applyFont="1" applyFill="1" applyBorder="1" applyAlignment="1">
      <alignment horizontal="center" vertical="center"/>
    </xf>
    <xf numFmtId="0" fontId="7" fillId="13" borderId="35" xfId="0" applyFont="1" applyFill="1" applyBorder="1" applyAlignment="1">
      <alignment horizontal="center" vertical="center"/>
    </xf>
    <xf numFmtId="0" fontId="17" fillId="13" borderId="35" xfId="0" applyFont="1" applyFill="1" applyBorder="1" applyAlignment="1">
      <alignment horizontal="center" vertical="center"/>
    </xf>
    <xf numFmtId="0" fontId="50" fillId="13" borderId="35" xfId="0" applyFont="1" applyFill="1" applyBorder="1" applyAlignment="1">
      <alignment horizontal="center" vertical="center"/>
    </xf>
    <xf numFmtId="1" fontId="50" fillId="13" borderId="35" xfId="0" applyNumberFormat="1" applyFont="1" applyFill="1" applyBorder="1" applyAlignment="1">
      <alignment horizontal="center" vertical="center"/>
    </xf>
    <xf numFmtId="1" fontId="17" fillId="13" borderId="35" xfId="0" applyNumberFormat="1" applyFont="1" applyFill="1" applyBorder="1" applyAlignment="1">
      <alignment horizontal="center" vertical="center"/>
    </xf>
    <xf numFmtId="0" fontId="17" fillId="13" borderId="36" xfId="0" applyFont="1" applyFill="1" applyBorder="1" applyAlignment="1">
      <alignment horizontal="center" vertical="center"/>
    </xf>
    <xf numFmtId="0" fontId="50" fillId="15" borderId="22" xfId="0" applyFont="1" applyFill="1" applyBorder="1" applyAlignment="1">
      <alignment horizontal="center"/>
    </xf>
    <xf numFmtId="0" fontId="17" fillId="13" borderId="12" xfId="0" applyFont="1" applyFill="1" applyBorder="1" applyAlignment="1">
      <alignment horizontal="center" vertical="center"/>
    </xf>
    <xf numFmtId="0" fontId="50" fillId="13" borderId="12" xfId="0" applyFont="1" applyFill="1" applyBorder="1" applyAlignment="1">
      <alignment horizontal="center" vertical="center"/>
    </xf>
    <xf numFmtId="1" fontId="50" fillId="13" borderId="12" xfId="0" applyNumberFormat="1" applyFont="1" applyFill="1" applyBorder="1" applyAlignment="1">
      <alignment horizontal="center" vertical="center"/>
    </xf>
    <xf numFmtId="0" fontId="17" fillId="13" borderId="10" xfId="0" applyFont="1" applyFill="1" applyBorder="1" applyAlignment="1">
      <alignment horizontal="center" vertical="center"/>
    </xf>
    <xf numFmtId="0" fontId="50" fillId="13" borderId="14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/>
    </xf>
    <xf numFmtId="1" fontId="7" fillId="13" borderId="8" xfId="0" applyNumberFormat="1" applyFont="1" applyFill="1" applyBorder="1" applyAlignment="1">
      <alignment horizontal="center" vertical="center"/>
    </xf>
    <xf numFmtId="1" fontId="4" fillId="13" borderId="8" xfId="0" applyNumberFormat="1" applyFont="1" applyFill="1" applyBorder="1" applyAlignment="1">
      <alignment horizontal="center" vertical="center"/>
    </xf>
    <xf numFmtId="0" fontId="4" fillId="13" borderId="6" xfId="0" applyFont="1" applyFill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 wrapText="1"/>
    </xf>
    <xf numFmtId="0" fontId="77" fillId="15" borderId="48" xfId="0" applyFont="1" applyFill="1" applyBorder="1" applyAlignment="1">
      <alignment horizontal="center"/>
    </xf>
    <xf numFmtId="0" fontId="63" fillId="13" borderId="0" xfId="0" applyFont="1" applyFill="1"/>
    <xf numFmtId="0" fontId="4" fillId="13" borderId="69" xfId="0" applyFont="1" applyFill="1" applyBorder="1" applyAlignment="1">
      <alignment horizontal="center" vertical="center"/>
    </xf>
    <xf numFmtId="0" fontId="7" fillId="13" borderId="62" xfId="0" applyFont="1" applyFill="1" applyBorder="1" applyAlignment="1">
      <alignment horizontal="center" vertical="center"/>
    </xf>
    <xf numFmtId="0" fontId="4" fillId="13" borderId="62" xfId="0" applyFont="1" applyFill="1" applyBorder="1" applyAlignment="1">
      <alignment horizontal="center" vertical="center"/>
    </xf>
    <xf numFmtId="0" fontId="17" fillId="13" borderId="62" xfId="0" applyFont="1" applyFill="1" applyBorder="1" applyAlignment="1">
      <alignment horizontal="center" vertical="center"/>
    </xf>
    <xf numFmtId="0" fontId="50" fillId="13" borderId="62" xfId="0" applyFont="1" applyFill="1" applyBorder="1" applyAlignment="1">
      <alignment horizontal="center" vertical="center"/>
    </xf>
    <xf numFmtId="1" fontId="50" fillId="13" borderId="62" xfId="0" applyNumberFormat="1" applyFont="1" applyFill="1" applyBorder="1" applyAlignment="1">
      <alignment horizontal="center" vertical="center"/>
    </xf>
    <xf numFmtId="0" fontId="17" fillId="13" borderId="67" xfId="0" applyFont="1" applyFill="1" applyBorder="1" applyAlignment="1">
      <alignment horizontal="center" vertical="center"/>
    </xf>
    <xf numFmtId="0" fontId="7" fillId="13" borderId="21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50" fillId="13" borderId="21" xfId="0" applyFont="1" applyFill="1" applyBorder="1" applyAlignment="1">
      <alignment horizontal="center" vertical="center"/>
    </xf>
    <xf numFmtId="0" fontId="17" fillId="13" borderId="22" xfId="0" applyFont="1" applyFill="1" applyBorder="1" applyAlignment="1">
      <alignment horizontal="center" vertical="center"/>
    </xf>
    <xf numFmtId="0" fontId="17" fillId="13" borderId="12" xfId="6" applyNumberFormat="1" applyFont="1" applyFill="1" applyBorder="1" applyAlignment="1">
      <alignment horizontal="center" vertical="center"/>
    </xf>
    <xf numFmtId="0" fontId="17" fillId="13" borderId="25" xfId="0" applyFont="1" applyFill="1" applyBorder="1" applyAlignment="1">
      <alignment horizontal="center" vertical="center"/>
    </xf>
    <xf numFmtId="0" fontId="50" fillId="13" borderId="25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1" fontId="50" fillId="15" borderId="22" xfId="0" applyNumberFormat="1" applyFont="1" applyFill="1" applyBorder="1" applyAlignment="1">
      <alignment horizontal="center"/>
    </xf>
    <xf numFmtId="1" fontId="7" fillId="13" borderId="35" xfId="0" applyNumberFormat="1" applyFont="1" applyFill="1" applyBorder="1" applyAlignment="1">
      <alignment horizontal="center" vertical="center"/>
    </xf>
    <xf numFmtId="1" fontId="4" fillId="13" borderId="35" xfId="0" applyNumberFormat="1" applyFont="1" applyFill="1" applyBorder="1" applyAlignment="1">
      <alignment horizontal="center" vertical="center"/>
    </xf>
    <xf numFmtId="0" fontId="4" fillId="13" borderId="36" xfId="0" applyFont="1" applyFill="1" applyBorder="1" applyAlignment="1">
      <alignment horizontal="center" vertical="center"/>
    </xf>
    <xf numFmtId="0" fontId="0" fillId="15" borderId="12" xfId="0" applyFill="1" applyBorder="1" applyAlignment="1">
      <alignment horizontal="center"/>
    </xf>
    <xf numFmtId="0" fontId="7" fillId="13" borderId="88" xfId="0" applyFont="1" applyFill="1" applyBorder="1" applyAlignment="1">
      <alignment horizontal="center" vertical="center"/>
    </xf>
    <xf numFmtId="1" fontId="50" fillId="15" borderId="14" xfId="0" applyNumberFormat="1" applyFont="1" applyFill="1" applyBorder="1" applyAlignment="1">
      <alignment horizontal="center"/>
    </xf>
    <xf numFmtId="0" fontId="7" fillId="13" borderId="65" xfId="0" applyFont="1" applyFill="1" applyBorder="1" applyAlignment="1">
      <alignment horizontal="center" vertical="center"/>
    </xf>
    <xf numFmtId="0" fontId="7" fillId="13" borderId="78" xfId="0" applyFont="1" applyFill="1" applyBorder="1" applyAlignment="1">
      <alignment horizontal="center" vertical="center"/>
    </xf>
    <xf numFmtId="0" fontId="7" fillId="13" borderId="12" xfId="0" applyFont="1" applyFill="1" applyBorder="1" applyAlignment="1">
      <alignment horizontal="center" vertical="center" wrapText="1"/>
    </xf>
    <xf numFmtId="0" fontId="7" fillId="13" borderId="88" xfId="0" applyFont="1" applyFill="1" applyBorder="1" applyAlignment="1">
      <alignment horizontal="center" vertical="center" wrapText="1"/>
    </xf>
    <xf numFmtId="0" fontId="7" fillId="13" borderId="40" xfId="0" applyFont="1" applyFill="1" applyBorder="1" applyAlignment="1">
      <alignment horizontal="center" vertical="center" wrapText="1"/>
    </xf>
    <xf numFmtId="1" fontId="4" fillId="13" borderId="11" xfId="0" applyNumberFormat="1" applyFont="1" applyFill="1" applyBorder="1" applyAlignment="1">
      <alignment horizontal="center" vertical="center"/>
    </xf>
    <xf numFmtId="2" fontId="7" fillId="13" borderId="12" xfId="0" applyNumberFormat="1" applyFont="1" applyFill="1" applyBorder="1" applyAlignment="1">
      <alignment horizontal="center" vertical="center" wrapText="1"/>
    </xf>
    <xf numFmtId="1" fontId="50" fillId="15" borderId="6" xfId="0" applyNumberFormat="1" applyFont="1" applyFill="1" applyBorder="1" applyAlignment="1">
      <alignment horizontal="center"/>
    </xf>
    <xf numFmtId="1" fontId="50" fillId="13" borderId="8" xfId="0" applyNumberFormat="1" applyFont="1" applyFill="1" applyBorder="1" applyAlignment="1">
      <alignment horizontal="center" vertical="center"/>
    </xf>
    <xf numFmtId="1" fontId="11" fillId="15" borderId="11" xfId="76" applyNumberFormat="1" applyFill="1" applyBorder="1" applyAlignment="1">
      <alignment horizontal="center"/>
    </xf>
    <xf numFmtId="1" fontId="11" fillId="15" borderId="15" xfId="76" applyNumberFormat="1" applyFill="1" applyBorder="1" applyAlignment="1">
      <alignment horizontal="center"/>
    </xf>
    <xf numFmtId="1" fontId="11" fillId="15" borderId="32" xfId="76" applyNumberFormat="1" applyFill="1" applyBorder="1" applyAlignment="1">
      <alignment horizontal="center"/>
    </xf>
    <xf numFmtId="0" fontId="7" fillId="13" borderId="51" xfId="0" applyFont="1" applyFill="1" applyBorder="1" applyAlignment="1">
      <alignment horizontal="center" vertical="center"/>
    </xf>
    <xf numFmtId="0" fontId="17" fillId="13" borderId="89" xfId="0" applyFont="1" applyFill="1" applyBorder="1" applyAlignment="1">
      <alignment horizontal="center" vertical="center"/>
    </xf>
    <xf numFmtId="0" fontId="50" fillId="15" borderId="14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0" fontId="7" fillId="13" borderId="10" xfId="0" applyFont="1" applyFill="1" applyBorder="1" applyAlignment="1">
      <alignment horizontal="center" vertical="center"/>
    </xf>
    <xf numFmtId="0" fontId="4" fillId="0" borderId="83" xfId="0" applyFont="1" applyBorder="1" applyAlignment="1">
      <alignment horizontal="center"/>
    </xf>
    <xf numFmtId="0" fontId="9" fillId="0" borderId="90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16" fillId="13" borderId="12" xfId="0" applyFont="1" applyFill="1" applyBorder="1" applyAlignment="1">
      <alignment horizontal="center"/>
    </xf>
    <xf numFmtId="0" fontId="5" fillId="13" borderId="12" xfId="0" applyFont="1" applyFill="1" applyBorder="1" applyAlignment="1">
      <alignment horizontal="left"/>
    </xf>
    <xf numFmtId="2" fontId="16" fillId="13" borderId="12" xfId="0" applyNumberFormat="1" applyFont="1" applyFill="1" applyBorder="1" applyAlignment="1">
      <alignment horizontal="center"/>
    </xf>
    <xf numFmtId="0" fontId="78" fillId="0" borderId="12" xfId="0" applyFont="1" applyBorder="1" applyAlignment="1">
      <alignment wrapText="1"/>
    </xf>
    <xf numFmtId="0" fontId="78" fillId="0" borderId="94" xfId="0" applyFont="1" applyBorder="1" applyAlignment="1">
      <alignment horizontal="center" vertical="center" wrapText="1"/>
    </xf>
    <xf numFmtId="0" fontId="78" fillId="0" borderId="12" xfId="0" applyFont="1" applyBorder="1"/>
    <xf numFmtId="0" fontId="78" fillId="0" borderId="12" xfId="0" applyFont="1" applyBorder="1" applyAlignment="1">
      <alignment horizontal="center" vertical="center"/>
    </xf>
    <xf numFmtId="0" fontId="78" fillId="0" borderId="12" xfId="0" applyFont="1" applyBorder="1" applyAlignment="1">
      <alignment horizontal="center"/>
    </xf>
    <xf numFmtId="0" fontId="11" fillId="15" borderId="48" xfId="76" applyFill="1" applyBorder="1" applyAlignment="1">
      <alignment horizontal="center"/>
    </xf>
    <xf numFmtId="0" fontId="7" fillId="13" borderId="20" xfId="0" applyFont="1" applyFill="1" applyBorder="1" applyAlignment="1">
      <alignment horizontal="center" vertical="center"/>
    </xf>
    <xf numFmtId="1" fontId="4" fillId="0" borderId="37" xfId="0" applyNumberFormat="1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1" fontId="7" fillId="0" borderId="65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79" fillId="0" borderId="12" xfId="0" applyFont="1" applyBorder="1" applyAlignment="1">
      <alignment horizontal="center" wrapText="1"/>
    </xf>
    <xf numFmtId="0" fontId="78" fillId="13" borderId="0" xfId="0" applyFont="1" applyFill="1" applyAlignment="1">
      <alignment horizontal="center"/>
    </xf>
    <xf numFmtId="0" fontId="78" fillId="0" borderId="13" xfId="0" applyFont="1" applyBorder="1" applyAlignment="1">
      <alignment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78" fillId="0" borderId="12" xfId="0" applyFont="1" applyBorder="1" applyAlignment="1">
      <alignment horizontal="center" wrapText="1"/>
    </xf>
    <xf numFmtId="1" fontId="5" fillId="0" borderId="32" xfId="0" applyNumberFormat="1" applyFont="1" applyBorder="1" applyAlignment="1">
      <alignment horizontal="center"/>
    </xf>
    <xf numFmtId="0" fontId="16" fillId="13" borderId="68" xfId="0" applyFont="1" applyFill="1" applyBorder="1" applyAlignment="1">
      <alignment horizontal="center"/>
    </xf>
    <xf numFmtId="0" fontId="16" fillId="13" borderId="0" xfId="0" applyFont="1" applyFill="1" applyAlignment="1">
      <alignment horizontal="center"/>
    </xf>
    <xf numFmtId="0" fontId="16" fillId="13" borderId="12" xfId="0" applyFont="1" applyFill="1" applyBorder="1" applyAlignment="1">
      <alignment horizontal="center" vertical="center"/>
    </xf>
    <xf numFmtId="0" fontId="0" fillId="11" borderId="40" xfId="0" applyFill="1" applyBorder="1" applyAlignment="1">
      <alignment horizontal="center" wrapText="1"/>
    </xf>
    <xf numFmtId="0" fontId="50" fillId="11" borderId="40" xfId="76" applyFont="1" applyFill="1" applyBorder="1" applyAlignment="1">
      <alignment horizontal="center"/>
    </xf>
    <xf numFmtId="165" fontId="50" fillId="11" borderId="40" xfId="76" applyNumberFormat="1" applyFont="1" applyFill="1" applyBorder="1" applyAlignment="1">
      <alignment horizontal="center"/>
    </xf>
    <xf numFmtId="1" fontId="50" fillId="0" borderId="40" xfId="0" applyNumberFormat="1" applyFont="1" applyBorder="1" applyAlignment="1">
      <alignment horizontal="center" vertical="center"/>
    </xf>
    <xf numFmtId="2" fontId="50" fillId="11" borderId="40" xfId="76" applyNumberFormat="1" applyFont="1" applyFill="1" applyBorder="1" applyAlignment="1">
      <alignment horizontal="center"/>
    </xf>
    <xf numFmtId="1" fontId="11" fillId="11" borderId="12" xfId="76" applyNumberFormat="1" applyFill="1" applyBorder="1" applyAlignment="1">
      <alignment horizontal="center"/>
    </xf>
    <xf numFmtId="1" fontId="11" fillId="11" borderId="8" xfId="76" applyNumberFormat="1" applyFill="1" applyBorder="1" applyAlignment="1">
      <alignment horizontal="center"/>
    </xf>
    <xf numFmtId="0" fontId="50" fillId="0" borderId="21" xfId="0" applyFont="1" applyBorder="1" applyAlignment="1">
      <alignment horizontal="center" vertical="center"/>
    </xf>
    <xf numFmtId="1" fontId="17" fillId="0" borderId="21" xfId="0" applyNumberFormat="1" applyFont="1" applyBorder="1" applyAlignment="1">
      <alignment horizontal="center" vertical="center"/>
    </xf>
    <xf numFmtId="2" fontId="17" fillId="0" borderId="21" xfId="0" applyNumberFormat="1" applyFont="1" applyBorder="1" applyAlignment="1">
      <alignment horizontal="center" vertical="center"/>
    </xf>
    <xf numFmtId="0" fontId="80" fillId="0" borderId="32" xfId="0" applyFont="1" applyBorder="1" applyAlignment="1">
      <alignment horizontal="center"/>
    </xf>
    <xf numFmtId="1" fontId="80" fillId="0" borderId="32" xfId="0" applyNumberFormat="1" applyFont="1" applyBorder="1" applyAlignment="1">
      <alignment horizontal="center"/>
    </xf>
    <xf numFmtId="1" fontId="50" fillId="0" borderId="12" xfId="0" applyNumberFormat="1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1" fontId="17" fillId="0" borderId="12" xfId="0" applyNumberFormat="1" applyFont="1" applyBorder="1" applyAlignment="1">
      <alignment horizontal="center"/>
    </xf>
    <xf numFmtId="2" fontId="17" fillId="0" borderId="12" xfId="0" applyNumberFormat="1" applyFont="1" applyBorder="1" applyAlignment="1">
      <alignment horizontal="center"/>
    </xf>
    <xf numFmtId="2" fontId="17" fillId="13" borderId="12" xfId="0" applyNumberFormat="1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1" fontId="11" fillId="11" borderId="40" xfId="76" applyNumberFormat="1" applyFill="1" applyBorder="1" applyAlignment="1">
      <alignment horizontal="center"/>
    </xf>
    <xf numFmtId="1" fontId="11" fillId="11" borderId="79" xfId="76" applyNumberFormat="1" applyFill="1" applyBorder="1" applyAlignment="1">
      <alignment horizontal="center"/>
    </xf>
    <xf numFmtId="0" fontId="0" fillId="11" borderId="91" xfId="0" applyFill="1" applyBorder="1" applyAlignment="1">
      <alignment horizontal="center" wrapText="1"/>
    </xf>
    <xf numFmtId="0" fontId="17" fillId="0" borderId="4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1" fontId="50" fillId="0" borderId="4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horizontal="center" vertical="center"/>
    </xf>
    <xf numFmtId="2" fontId="50" fillId="11" borderId="4" xfId="76" applyNumberFormat="1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1" fontId="4" fillId="0" borderId="75" xfId="0" applyNumberFormat="1" applyFont="1" applyBorder="1" applyAlignment="1">
      <alignment horizontal="center" vertical="center"/>
    </xf>
    <xf numFmtId="1" fontId="5" fillId="16" borderId="92" xfId="0" applyNumberFormat="1" applyFont="1" applyFill="1" applyBorder="1" applyAlignment="1">
      <alignment horizontal="center" vertical="center"/>
    </xf>
    <xf numFmtId="2" fontId="16" fillId="16" borderId="11" xfId="0" applyNumberFormat="1" applyFont="1" applyFill="1" applyBorder="1" applyAlignment="1">
      <alignment horizontal="center" vertical="center"/>
    </xf>
    <xf numFmtId="2" fontId="16" fillId="16" borderId="15" xfId="0" applyNumberFormat="1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2" fontId="17" fillId="13" borderId="89" xfId="0" applyNumberFormat="1" applyFont="1" applyFill="1" applyBorder="1" applyAlignment="1">
      <alignment horizontal="center" vertical="center"/>
    </xf>
    <xf numFmtId="1" fontId="17" fillId="13" borderId="89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0" fontId="15" fillId="0" borderId="32" xfId="137" applyFont="1" applyBorder="1" applyAlignment="1">
      <alignment horizontal="right" wrapText="1"/>
    </xf>
    <xf numFmtId="3" fontId="16" fillId="0" borderId="62" xfId="0" applyNumberFormat="1" applyFont="1" applyBorder="1" applyAlignment="1">
      <alignment horizontal="center" vertical="center"/>
    </xf>
    <xf numFmtId="165" fontId="54" fillId="0" borderId="62" xfId="0" applyNumberFormat="1" applyFont="1" applyBorder="1" applyAlignment="1">
      <alignment horizontal="center" vertical="center"/>
    </xf>
    <xf numFmtId="1" fontId="78" fillId="0" borderId="12" xfId="0" applyNumberFormat="1" applyFont="1" applyBorder="1" applyAlignment="1">
      <alignment horizontal="center"/>
    </xf>
    <xf numFmtId="2" fontId="4" fillId="13" borderId="11" xfId="0" applyNumberFormat="1" applyFont="1" applyFill="1" applyBorder="1" applyAlignment="1">
      <alignment vertical="center"/>
    </xf>
    <xf numFmtId="2" fontId="4" fillId="13" borderId="12" xfId="0" applyNumberFormat="1" applyFont="1" applyFill="1" applyBorder="1" applyAlignment="1">
      <alignment vertical="center"/>
    </xf>
    <xf numFmtId="2" fontId="4" fillId="13" borderId="13" xfId="0" applyNumberFormat="1" applyFont="1" applyFill="1" applyBorder="1" applyAlignment="1">
      <alignment vertical="center"/>
    </xf>
    <xf numFmtId="2" fontId="4" fillId="13" borderId="10" xfId="0" applyNumberFormat="1" applyFont="1" applyFill="1" applyBorder="1" applyAlignment="1">
      <alignment vertical="center"/>
    </xf>
    <xf numFmtId="1" fontId="4" fillId="13" borderId="10" xfId="0" applyNumberFormat="1" applyFont="1" applyFill="1" applyBorder="1" applyAlignment="1">
      <alignment horizontal="center" vertical="center"/>
    </xf>
    <xf numFmtId="1" fontId="5" fillId="13" borderId="60" xfId="0" applyNumberFormat="1" applyFont="1" applyFill="1" applyBorder="1" applyAlignment="1">
      <alignment horizontal="center" vertical="center"/>
    </xf>
    <xf numFmtId="0" fontId="82" fillId="0" borderId="95" xfId="0" applyFont="1" applyBorder="1" applyAlignment="1">
      <alignment horizontal="center" vertical="center" wrapText="1"/>
    </xf>
    <xf numFmtId="0" fontId="82" fillId="0" borderId="96" xfId="0" applyFont="1" applyBorder="1" applyAlignment="1">
      <alignment horizontal="center" vertical="center" wrapText="1"/>
    </xf>
    <xf numFmtId="0" fontId="82" fillId="0" borderId="97" xfId="0" applyFont="1" applyBorder="1" applyAlignment="1">
      <alignment horizontal="center" vertical="center" wrapText="1"/>
    </xf>
    <xf numFmtId="0" fontId="82" fillId="0" borderId="98" xfId="0" applyFont="1" applyBorder="1" applyAlignment="1">
      <alignment horizontal="center" vertical="center" wrapText="1"/>
    </xf>
    <xf numFmtId="0" fontId="83" fillId="0" borderId="96" xfId="0" applyFont="1" applyBorder="1" applyAlignment="1">
      <alignment horizontal="center" vertical="center" wrapText="1"/>
    </xf>
    <xf numFmtId="0" fontId="84" fillId="0" borderId="96" xfId="0" applyFont="1" applyBorder="1" applyAlignment="1">
      <alignment horizontal="justify" vertical="center" wrapText="1"/>
    </xf>
    <xf numFmtId="0" fontId="82" fillId="0" borderId="99" xfId="0" applyFont="1" applyBorder="1" applyAlignment="1">
      <alignment horizontal="justify" vertical="center" wrapText="1"/>
    </xf>
    <xf numFmtId="0" fontId="83" fillId="0" borderId="99" xfId="0" applyFont="1" applyBorder="1" applyAlignment="1">
      <alignment horizontal="justify" vertical="center" wrapText="1"/>
    </xf>
    <xf numFmtId="0" fontId="83" fillId="0" borderId="96" xfId="0" applyFont="1" applyBorder="1" applyAlignment="1">
      <alignment horizontal="justify" vertical="center" wrapText="1"/>
    </xf>
    <xf numFmtId="0" fontId="82" fillId="0" borderId="96" xfId="0" applyFont="1" applyBorder="1" applyAlignment="1">
      <alignment horizontal="justify" vertical="center" wrapText="1"/>
    </xf>
    <xf numFmtId="0" fontId="82" fillId="0" borderId="97" xfId="0" applyFont="1" applyBorder="1" applyAlignment="1">
      <alignment horizontal="justify" vertical="center" wrapText="1"/>
    </xf>
    <xf numFmtId="0" fontId="82" fillId="0" borderId="98" xfId="0" applyFont="1" applyBorder="1" applyAlignment="1">
      <alignment horizontal="justify" vertical="center" wrapText="1"/>
    </xf>
    <xf numFmtId="0" fontId="84" fillId="0" borderId="96" xfId="0" applyFont="1" applyBorder="1" applyAlignment="1">
      <alignment vertical="center" wrapText="1"/>
    </xf>
    <xf numFmtId="0" fontId="82" fillId="0" borderId="98" xfId="0" applyFont="1" applyBorder="1" applyAlignment="1">
      <alignment vertical="center" wrapText="1"/>
    </xf>
    <xf numFmtId="0" fontId="82" fillId="0" borderId="96" xfId="0" applyFont="1" applyBorder="1" applyAlignment="1">
      <alignment vertical="center" wrapText="1"/>
    </xf>
    <xf numFmtId="0" fontId="85" fillId="0" borderId="96" xfId="0" applyFont="1" applyBorder="1" applyAlignment="1">
      <alignment horizontal="center" vertical="center" wrapText="1"/>
    </xf>
    <xf numFmtId="0" fontId="82" fillId="0" borderId="99" xfId="0" applyFont="1" applyBorder="1" applyAlignment="1">
      <alignment horizontal="center" vertical="center" wrapText="1"/>
    </xf>
    <xf numFmtId="0" fontId="86" fillId="0" borderId="96" xfId="0" applyFont="1" applyBorder="1" applyAlignment="1">
      <alignment vertical="center" wrapText="1"/>
    </xf>
    <xf numFmtId="0" fontId="82" fillId="0" borderId="100" xfId="0" applyFont="1" applyBorder="1" applyAlignment="1">
      <alignment horizontal="justify" vertical="center" wrapText="1"/>
    </xf>
    <xf numFmtId="0" fontId="86" fillId="0" borderId="99" xfId="0" applyFont="1" applyBorder="1" applyAlignment="1">
      <alignment vertical="center" wrapText="1"/>
    </xf>
    <xf numFmtId="0" fontId="86" fillId="0" borderId="96" xfId="0" applyFont="1" applyBorder="1" applyAlignment="1">
      <alignment horizontal="justify" vertical="center" wrapText="1"/>
    </xf>
    <xf numFmtId="166" fontId="28" fillId="13" borderId="31" xfId="0" applyNumberFormat="1" applyFont="1" applyFill="1" applyBorder="1" applyAlignment="1">
      <alignment horizontal="center" vertical="center"/>
    </xf>
    <xf numFmtId="0" fontId="4" fillId="13" borderId="59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78" xfId="0" applyFont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/>
    </xf>
    <xf numFmtId="0" fontId="16" fillId="14" borderId="27" xfId="0" applyFont="1" applyFill="1" applyBorder="1" applyAlignment="1">
      <alignment horizontal="center" vertical="center"/>
    </xf>
    <xf numFmtId="20" fontId="16" fillId="0" borderId="12" xfId="0" applyNumberFormat="1" applyFont="1" applyBorder="1" applyAlignment="1">
      <alignment horizontal="center" vertical="center"/>
    </xf>
    <xf numFmtId="0" fontId="4" fillId="16" borderId="33" xfId="0" applyFont="1" applyFill="1" applyBorder="1" applyAlignment="1">
      <alignment horizontal="center" wrapText="1"/>
    </xf>
    <xf numFmtId="1" fontId="4" fillId="0" borderId="6" xfId="0" applyNumberFormat="1" applyFont="1" applyBorder="1" applyAlignment="1">
      <alignment horizontal="center" vertical="center"/>
    </xf>
    <xf numFmtId="1" fontId="17" fillId="16" borderId="77" xfId="0" applyNumberFormat="1" applyFont="1" applyFill="1" applyBorder="1" applyAlignment="1">
      <alignment horizontal="center" vertical="center"/>
    </xf>
    <xf numFmtId="1" fontId="28" fillId="16" borderId="32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5" fillId="16" borderId="33" xfId="0" applyNumberFormat="1" applyFont="1" applyFill="1" applyBorder="1" applyAlignment="1">
      <alignment horizontal="center" vertical="center"/>
    </xf>
    <xf numFmtId="1" fontId="5" fillId="16" borderId="32" xfId="0" applyNumberFormat="1" applyFont="1" applyFill="1" applyBorder="1" applyAlignment="1">
      <alignment horizontal="center" vertical="center"/>
    </xf>
    <xf numFmtId="0" fontId="66" fillId="13" borderId="18" xfId="0" applyFont="1" applyFill="1" applyBorder="1" applyAlignment="1">
      <alignment horizontal="center" vertical="center"/>
    </xf>
    <xf numFmtId="0" fontId="68" fillId="15" borderId="48" xfId="0" applyFont="1" applyFill="1" applyBorder="1" applyAlignment="1">
      <alignment horizontal="center"/>
    </xf>
    <xf numFmtId="165" fontId="67" fillId="15" borderId="48" xfId="76" applyNumberFormat="1" applyFont="1" applyFill="1" applyBorder="1" applyAlignment="1">
      <alignment horizontal="center"/>
    </xf>
    <xf numFmtId="165" fontId="68" fillId="15" borderId="48" xfId="0" applyNumberFormat="1" applyFont="1" applyFill="1" applyBorder="1" applyAlignment="1">
      <alignment horizontal="center"/>
    </xf>
    <xf numFmtId="1" fontId="66" fillId="13" borderId="12" xfId="0" applyNumberFormat="1" applyFont="1" applyFill="1" applyBorder="1" applyAlignment="1">
      <alignment horizontal="center" vertical="center"/>
    </xf>
    <xf numFmtId="2" fontId="66" fillId="13" borderId="12" xfId="0" applyNumberFormat="1" applyFont="1" applyFill="1" applyBorder="1" applyAlignment="1">
      <alignment horizontal="center" vertical="center"/>
    </xf>
    <xf numFmtId="2" fontId="68" fillId="15" borderId="48" xfId="0" applyNumberFormat="1" applyFont="1" applyFill="1" applyBorder="1" applyAlignment="1">
      <alignment horizontal="center"/>
    </xf>
    <xf numFmtId="0" fontId="66" fillId="13" borderId="10" xfId="0" applyFont="1" applyFill="1" applyBorder="1" applyAlignment="1">
      <alignment horizontal="center" vertical="center"/>
    </xf>
    <xf numFmtId="0" fontId="68" fillId="13" borderId="0" xfId="0" applyFont="1" applyFill="1"/>
    <xf numFmtId="1" fontId="4" fillId="0" borderId="36" xfId="0" applyNumberFormat="1" applyFont="1" applyBorder="1" applyAlignment="1">
      <alignment horizontal="center" vertical="center"/>
    </xf>
    <xf numFmtId="3" fontId="15" fillId="0" borderId="14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/>
    </xf>
    <xf numFmtId="0" fontId="4" fillId="13" borderId="11" xfId="0" applyFont="1" applyFill="1" applyBorder="1" applyAlignment="1">
      <alignment horizontal="center" vertical="center"/>
    </xf>
    <xf numFmtId="0" fontId="4" fillId="13" borderId="15" xfId="0" applyFont="1" applyFill="1" applyBorder="1" applyAlignment="1">
      <alignment horizontal="center" vertical="center"/>
    </xf>
    <xf numFmtId="0" fontId="50" fillId="15" borderId="12" xfId="0" applyFont="1" applyFill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0" fontId="5" fillId="0" borderId="56" xfId="0" applyFont="1" applyBorder="1"/>
    <xf numFmtId="0" fontId="28" fillId="13" borderId="59" xfId="0" applyFont="1" applyFill="1" applyBorder="1" applyAlignment="1">
      <alignment horizontal="center"/>
    </xf>
    <xf numFmtId="166" fontId="5" fillId="0" borderId="39" xfId="0" applyNumberFormat="1" applyFont="1" applyBorder="1" applyAlignment="1">
      <alignment horizontal="center"/>
    </xf>
    <xf numFmtId="2" fontId="7" fillId="0" borderId="21" xfId="0" applyNumberFormat="1" applyFont="1" applyBorder="1" applyAlignment="1">
      <alignment horizontal="center" vertical="center" wrapText="1"/>
    </xf>
    <xf numFmtId="0" fontId="0" fillId="0" borderId="79" xfId="0" applyBorder="1"/>
    <xf numFmtId="2" fontId="7" fillId="0" borderId="12" xfId="0" applyNumberFormat="1" applyFont="1" applyBorder="1" applyAlignment="1">
      <alignment horizontal="center" wrapText="1"/>
    </xf>
    <xf numFmtId="0" fontId="11" fillId="11" borderId="25" xfId="76" applyFill="1" applyBorder="1" applyAlignment="1">
      <alignment horizontal="center"/>
    </xf>
    <xf numFmtId="0" fontId="11" fillId="11" borderId="8" xfId="76" applyFill="1" applyBorder="1" applyAlignment="1">
      <alignment horizontal="center"/>
    </xf>
    <xf numFmtId="0" fontId="11" fillId="11" borderId="40" xfId="76" applyFill="1" applyBorder="1" applyAlignment="1">
      <alignment horizontal="center"/>
    </xf>
    <xf numFmtId="0" fontId="11" fillId="15" borderId="4" xfId="76" applyFill="1" applyBorder="1" applyAlignment="1">
      <alignment horizontal="center"/>
    </xf>
    <xf numFmtId="0" fontId="11" fillId="15" borderId="50" xfId="0" applyFont="1" applyFill="1" applyBorder="1" applyAlignment="1">
      <alignment horizontal="center"/>
    </xf>
    <xf numFmtId="0" fontId="11" fillId="15" borderId="74" xfId="0" applyFont="1" applyFill="1" applyBorder="1" applyAlignment="1">
      <alignment horizontal="center"/>
    </xf>
    <xf numFmtId="0" fontId="11" fillId="15" borderId="48" xfId="0" applyFont="1" applyFill="1" applyBorder="1" applyAlignment="1">
      <alignment horizontal="center"/>
    </xf>
    <xf numFmtId="0" fontId="11" fillId="15" borderId="16" xfId="0" applyFont="1" applyFill="1" applyBorder="1" applyAlignment="1">
      <alignment horizontal="center"/>
    </xf>
    <xf numFmtId="0" fontId="16" fillId="13" borderId="35" xfId="0" applyFont="1" applyFill="1" applyBorder="1" applyAlignment="1">
      <alignment horizontal="center" vertical="center"/>
    </xf>
    <xf numFmtId="0" fontId="11" fillId="15" borderId="12" xfId="0" applyFont="1" applyFill="1" applyBorder="1" applyAlignment="1">
      <alignment horizontal="center"/>
    </xf>
    <xf numFmtId="0" fontId="11" fillId="15" borderId="40" xfId="0" applyFont="1" applyFill="1" applyBorder="1" applyAlignment="1">
      <alignment horizontal="center"/>
    </xf>
    <xf numFmtId="0" fontId="11" fillId="15" borderId="35" xfId="0" applyFont="1" applyFill="1" applyBorder="1" applyAlignment="1">
      <alignment horizontal="center"/>
    </xf>
    <xf numFmtId="0" fontId="11" fillId="15" borderId="64" xfId="0" applyFont="1" applyFill="1" applyBorder="1" applyAlignment="1">
      <alignment horizontal="center"/>
    </xf>
    <xf numFmtId="0" fontId="11" fillId="15" borderId="8" xfId="0" applyFont="1" applyFill="1" applyBorder="1" applyAlignment="1">
      <alignment horizontal="center"/>
    </xf>
    <xf numFmtId="1" fontId="11" fillId="15" borderId="12" xfId="0" applyNumberFormat="1" applyFont="1" applyFill="1" applyBorder="1" applyAlignment="1">
      <alignment horizontal="center"/>
    </xf>
    <xf numFmtId="0" fontId="11" fillId="11" borderId="64" xfId="0" applyFont="1" applyFill="1" applyBorder="1" applyAlignment="1">
      <alignment horizontal="center"/>
    </xf>
    <xf numFmtId="0" fontId="11" fillId="11" borderId="40" xfId="0" applyFont="1" applyFill="1" applyBorder="1" applyAlignment="1">
      <alignment horizontal="center"/>
    </xf>
    <xf numFmtId="0" fontId="11" fillId="11" borderId="8" xfId="0" applyFont="1" applyFill="1" applyBorder="1" applyAlignment="1">
      <alignment horizontal="center"/>
    </xf>
    <xf numFmtId="0" fontId="11" fillId="15" borderId="0" xfId="0" applyFont="1" applyFill="1" applyAlignment="1">
      <alignment horizontal="center"/>
    </xf>
    <xf numFmtId="0" fontId="67" fillId="15" borderId="12" xfId="0" applyFont="1" applyFill="1" applyBorder="1" applyAlignment="1">
      <alignment horizontal="center"/>
    </xf>
    <xf numFmtId="0" fontId="11" fillId="15" borderId="4" xfId="0" applyFont="1" applyFill="1" applyBorder="1" applyAlignment="1">
      <alignment horizontal="center"/>
    </xf>
    <xf numFmtId="1" fontId="11" fillId="15" borderId="0" xfId="0" applyNumberFormat="1" applyFont="1" applyFill="1" applyAlignment="1">
      <alignment horizontal="center"/>
    </xf>
    <xf numFmtId="1" fontId="11" fillId="15" borderId="35" xfId="0" applyNumberFormat="1" applyFont="1" applyFill="1" applyBorder="1" applyAlignment="1">
      <alignment horizontal="center"/>
    </xf>
    <xf numFmtId="1" fontId="11" fillId="11" borderId="25" xfId="0" applyNumberFormat="1" applyFont="1" applyFill="1" applyBorder="1" applyAlignment="1">
      <alignment horizontal="center"/>
    </xf>
    <xf numFmtId="1" fontId="11" fillId="11" borderId="0" xfId="0" applyNumberFormat="1" applyFont="1" applyFill="1" applyAlignment="1">
      <alignment horizontal="center"/>
    </xf>
    <xf numFmtId="49" fontId="11" fillId="11" borderId="40" xfId="76" applyNumberFormat="1" applyFill="1" applyBorder="1" applyAlignment="1">
      <alignment horizontal="center"/>
    </xf>
    <xf numFmtId="0" fontId="11" fillId="15" borderId="72" xfId="0" applyFont="1" applyFill="1" applyBorder="1" applyAlignment="1">
      <alignment horizontal="center"/>
    </xf>
    <xf numFmtId="0" fontId="11" fillId="15" borderId="70" xfId="0" applyFont="1" applyFill="1" applyBorder="1" applyAlignment="1">
      <alignment horizontal="center"/>
    </xf>
    <xf numFmtId="12" fontId="11" fillId="15" borderId="70" xfId="0" applyNumberFormat="1" applyFont="1" applyFill="1" applyBorder="1" applyAlignment="1">
      <alignment horizontal="center"/>
    </xf>
    <xf numFmtId="12" fontId="11" fillId="15" borderId="72" xfId="0" applyNumberFormat="1" applyFont="1" applyFill="1" applyBorder="1" applyAlignment="1">
      <alignment horizontal="center"/>
    </xf>
    <xf numFmtId="12" fontId="67" fillId="15" borderId="70" xfId="0" applyNumberFormat="1" applyFont="1" applyFill="1" applyBorder="1" applyAlignment="1">
      <alignment horizontal="center"/>
    </xf>
    <xf numFmtId="0" fontId="11" fillId="15" borderId="9" xfId="0" applyFont="1" applyFill="1" applyBorder="1" applyAlignment="1">
      <alignment horizontal="center"/>
    </xf>
    <xf numFmtId="0" fontId="11" fillId="15" borderId="49" xfId="0" applyFont="1" applyFill="1" applyBorder="1" applyAlignment="1">
      <alignment horizontal="center"/>
    </xf>
    <xf numFmtId="1" fontId="11" fillId="15" borderId="8" xfId="0" applyNumberFormat="1" applyFont="1" applyFill="1" applyBorder="1" applyAlignment="1">
      <alignment horizontal="center"/>
    </xf>
    <xf numFmtId="1" fontId="11" fillId="15" borderId="16" xfId="0" applyNumberFormat="1" applyFont="1" applyFill="1" applyBorder="1" applyAlignment="1">
      <alignment horizontal="center"/>
    </xf>
    <xf numFmtId="1" fontId="50" fillId="11" borderId="12" xfId="76" applyNumberFormat="1" applyFont="1" applyFill="1" applyBorder="1" applyAlignment="1">
      <alignment horizontal="center"/>
    </xf>
    <xf numFmtId="1" fontId="5" fillId="13" borderId="12" xfId="0" applyNumberFormat="1" applyFont="1" applyFill="1" applyBorder="1" applyAlignment="1">
      <alignment horizontal="center" vertical="center"/>
    </xf>
    <xf numFmtId="0" fontId="88" fillId="0" borderId="0" xfId="0" applyFont="1"/>
    <xf numFmtId="0" fontId="0" fillId="15" borderId="84" xfId="0" applyFill="1" applyBorder="1" applyAlignment="1">
      <alignment horizontal="center"/>
    </xf>
    <xf numFmtId="0" fontId="0" fillId="15" borderId="85" xfId="0" applyFill="1" applyBorder="1" applyAlignment="1">
      <alignment horizontal="center"/>
    </xf>
    <xf numFmtId="0" fontId="0" fillId="13" borderId="34" xfId="0" applyFill="1" applyBorder="1" applyAlignment="1">
      <alignment horizontal="center"/>
    </xf>
    <xf numFmtId="1" fontId="0" fillId="15" borderId="85" xfId="0" applyNumberFormat="1" applyFill="1" applyBorder="1" applyAlignment="1">
      <alignment horizontal="center"/>
    </xf>
    <xf numFmtId="0" fontId="7" fillId="0" borderId="7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165" fontId="50" fillId="11" borderId="48" xfId="76" applyNumberFormat="1" applyFont="1" applyFill="1" applyBorder="1" applyAlignment="1">
      <alignment horizontal="center"/>
    </xf>
    <xf numFmtId="0" fontId="15" fillId="13" borderId="18" xfId="0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center" vertical="center"/>
    </xf>
    <xf numFmtId="1" fontId="15" fillId="13" borderId="12" xfId="0" applyNumberFormat="1" applyFont="1" applyFill="1" applyBorder="1" applyAlignment="1">
      <alignment horizontal="center" vertical="center"/>
    </xf>
    <xf numFmtId="2" fontId="5" fillId="13" borderId="12" xfId="0" applyNumberFormat="1" applyFont="1" applyFill="1" applyBorder="1" applyAlignment="1">
      <alignment horizontal="center" vertical="center"/>
    </xf>
    <xf numFmtId="2" fontId="65" fillId="15" borderId="48" xfId="0" applyNumberFormat="1" applyFont="1" applyFill="1" applyBorder="1" applyAlignment="1">
      <alignment horizontal="center" vertical="center"/>
    </xf>
    <xf numFmtId="0" fontId="5" fillId="13" borderId="10" xfId="0" applyFont="1" applyFill="1" applyBorder="1" applyAlignment="1">
      <alignment horizontal="center" vertical="center"/>
    </xf>
    <xf numFmtId="0" fontId="65" fillId="15" borderId="84" xfId="0" applyFont="1" applyFill="1" applyBorder="1" applyAlignment="1">
      <alignment horizontal="center" vertical="center"/>
    </xf>
    <xf numFmtId="12" fontId="50" fillId="15" borderId="49" xfId="0" applyNumberFormat="1" applyFont="1" applyFill="1" applyBorder="1" applyAlignment="1">
      <alignment horizontal="center" vertical="center"/>
    </xf>
    <xf numFmtId="0" fontId="50" fillId="15" borderId="12" xfId="0" applyFont="1" applyFill="1" applyBorder="1" applyAlignment="1">
      <alignment horizontal="center" vertical="center"/>
    </xf>
    <xf numFmtId="0" fontId="50" fillId="15" borderId="50" xfId="0" applyFont="1" applyFill="1" applyBorder="1" applyAlignment="1">
      <alignment horizontal="center" vertical="center"/>
    </xf>
    <xf numFmtId="165" fontId="65" fillId="15" borderId="48" xfId="0" applyNumberFormat="1" applyFont="1" applyFill="1" applyBorder="1" applyAlignment="1">
      <alignment horizontal="center" vertical="center"/>
    </xf>
    <xf numFmtId="0" fontId="65" fillId="13" borderId="0" xfId="0" applyFont="1" applyFill="1" applyAlignment="1">
      <alignment vertical="center"/>
    </xf>
    <xf numFmtId="0" fontId="15" fillId="0" borderId="12" xfId="0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4" fillId="19" borderId="12" xfId="0" applyFont="1" applyFill="1" applyBorder="1" applyAlignment="1">
      <alignment horizontal="center" vertical="center"/>
    </xf>
    <xf numFmtId="0" fontId="7" fillId="19" borderId="12" xfId="0" applyFont="1" applyFill="1" applyBorder="1" applyAlignment="1">
      <alignment horizontal="center" vertical="center"/>
    </xf>
    <xf numFmtId="1" fontId="11" fillId="21" borderId="12" xfId="0" applyNumberFormat="1" applyFont="1" applyFill="1" applyBorder="1" applyAlignment="1">
      <alignment horizontal="center"/>
    </xf>
    <xf numFmtId="0" fontId="4" fillId="13" borderId="76" xfId="0" applyFont="1" applyFill="1" applyBorder="1" applyAlignment="1">
      <alignment horizontal="center" vertical="center"/>
    </xf>
    <xf numFmtId="0" fontId="11" fillId="15" borderId="57" xfId="0" applyFont="1" applyFill="1" applyBorder="1" applyAlignment="1">
      <alignment horizontal="center"/>
    </xf>
    <xf numFmtId="0" fontId="4" fillId="0" borderId="79" xfId="0" applyFont="1" applyBorder="1" applyAlignment="1">
      <alignment horizontal="center" vertical="center"/>
    </xf>
    <xf numFmtId="1" fontId="11" fillId="11" borderId="58" xfId="0" applyNumberFormat="1" applyFont="1" applyFill="1" applyBorder="1" applyAlignment="1">
      <alignment horizontal="center"/>
    </xf>
    <xf numFmtId="0" fontId="7" fillId="0" borderId="58" xfId="0" applyFont="1" applyBorder="1" applyAlignment="1">
      <alignment horizontal="center" vertical="center"/>
    </xf>
    <xf numFmtId="0" fontId="11" fillId="11" borderId="58" xfId="0" applyFont="1" applyFill="1" applyBorder="1" applyAlignment="1">
      <alignment horizontal="center"/>
    </xf>
    <xf numFmtId="0" fontId="4" fillId="0" borderId="58" xfId="0" applyFont="1" applyBorder="1" applyAlignment="1">
      <alignment horizontal="center" vertical="center"/>
    </xf>
    <xf numFmtId="1" fontId="7" fillId="0" borderId="58" xfId="0" applyNumberFormat="1" applyFont="1" applyBorder="1" applyAlignment="1">
      <alignment horizontal="center" vertical="center"/>
    </xf>
    <xf numFmtId="1" fontId="4" fillId="0" borderId="58" xfId="0" applyNumberFormat="1" applyFont="1" applyBorder="1" applyAlignment="1">
      <alignment horizontal="center" vertical="center"/>
    </xf>
    <xf numFmtId="2" fontId="4" fillId="0" borderId="58" xfId="0" applyNumberFormat="1" applyFont="1" applyBorder="1" applyAlignment="1">
      <alignment horizontal="center" vertical="center"/>
    </xf>
    <xf numFmtId="2" fontId="4" fillId="13" borderId="58" xfId="0" applyNumberFormat="1" applyFont="1" applyFill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1" fillId="11" borderId="21" xfId="0" applyFont="1" applyFill="1" applyBorder="1" applyAlignment="1">
      <alignment horizontal="center"/>
    </xf>
    <xf numFmtId="0" fontId="15" fillId="0" borderId="16" xfId="0" applyFont="1" applyBorder="1" applyAlignment="1">
      <alignment horizontal="center" vertical="center"/>
    </xf>
    <xf numFmtId="0" fontId="11" fillId="11" borderId="16" xfId="0" applyFont="1" applyFill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1" fontId="11" fillId="18" borderId="20" xfId="76" applyNumberFormat="1" applyFill="1" applyBorder="1" applyAlignment="1">
      <alignment horizontal="center"/>
    </xf>
    <xf numFmtId="0" fontId="0" fillId="18" borderId="21" xfId="0" applyFill="1" applyBorder="1" applyAlignment="1">
      <alignment horizontal="center" wrapText="1"/>
    </xf>
    <xf numFmtId="0" fontId="11" fillId="18" borderId="21" xfId="76" applyFill="1" applyBorder="1" applyAlignment="1">
      <alignment horizontal="center"/>
    </xf>
    <xf numFmtId="0" fontId="50" fillId="18" borderId="21" xfId="76" applyFont="1" applyFill="1" applyBorder="1" applyAlignment="1">
      <alignment horizontal="center"/>
    </xf>
    <xf numFmtId="0" fontId="17" fillId="20" borderId="21" xfId="0" applyFont="1" applyFill="1" applyBorder="1" applyAlignment="1">
      <alignment horizontal="center" vertical="center"/>
    </xf>
    <xf numFmtId="0" fontId="50" fillId="20" borderId="21" xfId="0" applyFont="1" applyFill="1" applyBorder="1" applyAlignment="1">
      <alignment horizontal="center" vertical="center"/>
    </xf>
    <xf numFmtId="165" fontId="50" fillId="18" borderId="21" xfId="76" applyNumberFormat="1" applyFont="1" applyFill="1" applyBorder="1" applyAlignment="1">
      <alignment horizontal="center"/>
    </xf>
    <xf numFmtId="1" fontId="50" fillId="18" borderId="21" xfId="76" applyNumberFormat="1" applyFont="1" applyFill="1" applyBorder="1" applyAlignment="1">
      <alignment horizontal="center"/>
    </xf>
    <xf numFmtId="1" fontId="17" fillId="20" borderId="21" xfId="0" applyNumberFormat="1" applyFont="1" applyFill="1" applyBorder="1" applyAlignment="1">
      <alignment horizontal="center" vertical="center"/>
    </xf>
    <xf numFmtId="2" fontId="17" fillId="20" borderId="21" xfId="0" applyNumberFormat="1" applyFont="1" applyFill="1" applyBorder="1" applyAlignment="1">
      <alignment horizontal="center" vertical="center"/>
    </xf>
    <xf numFmtId="2" fontId="50" fillId="18" borderId="21" xfId="76" applyNumberFormat="1" applyFont="1" applyFill="1" applyBorder="1" applyAlignment="1">
      <alignment horizontal="center"/>
    </xf>
    <xf numFmtId="0" fontId="17" fillId="20" borderId="22" xfId="0" applyFont="1" applyFill="1" applyBorder="1" applyAlignment="1">
      <alignment horizontal="center" vertical="center"/>
    </xf>
    <xf numFmtId="1" fontId="11" fillId="18" borderId="76" xfId="76" applyNumberFormat="1" applyFill="1" applyBorder="1" applyAlignment="1">
      <alignment horizontal="center"/>
    </xf>
    <xf numFmtId="0" fontId="0" fillId="18" borderId="40" xfId="0" applyFill="1" applyBorder="1" applyAlignment="1">
      <alignment horizontal="center" wrapText="1"/>
    </xf>
    <xf numFmtId="0" fontId="11" fillId="18" borderId="40" xfId="76" applyFill="1" applyBorder="1" applyAlignment="1">
      <alignment horizontal="center"/>
    </xf>
    <xf numFmtId="0" fontId="50" fillId="18" borderId="40" xfId="76" applyFont="1" applyFill="1" applyBorder="1" applyAlignment="1">
      <alignment horizontal="center"/>
    </xf>
    <xf numFmtId="0" fontId="17" fillId="20" borderId="40" xfId="0" applyFont="1" applyFill="1" applyBorder="1" applyAlignment="1">
      <alignment horizontal="center" vertical="center"/>
    </xf>
    <xf numFmtId="0" fontId="50" fillId="20" borderId="40" xfId="0" applyFont="1" applyFill="1" applyBorder="1" applyAlignment="1">
      <alignment horizontal="center" vertical="center"/>
    </xf>
    <xf numFmtId="165" fontId="50" fillId="18" borderId="40" xfId="76" applyNumberFormat="1" applyFont="1" applyFill="1" applyBorder="1" applyAlignment="1">
      <alignment horizontal="center"/>
    </xf>
    <xf numFmtId="1" fontId="50" fillId="18" borderId="40" xfId="76" applyNumberFormat="1" applyFont="1" applyFill="1" applyBorder="1" applyAlignment="1">
      <alignment horizontal="center"/>
    </xf>
    <xf numFmtId="1" fontId="17" fillId="20" borderId="40" xfId="0" applyNumberFormat="1" applyFont="1" applyFill="1" applyBorder="1" applyAlignment="1">
      <alignment horizontal="center" vertical="center"/>
    </xf>
    <xf numFmtId="2" fontId="17" fillId="20" borderId="40" xfId="0" applyNumberFormat="1" applyFont="1" applyFill="1" applyBorder="1" applyAlignment="1">
      <alignment horizontal="center" vertical="center"/>
    </xf>
    <xf numFmtId="2" fontId="50" fillId="18" borderId="40" xfId="76" applyNumberFormat="1" applyFont="1" applyFill="1" applyBorder="1" applyAlignment="1">
      <alignment horizontal="center"/>
    </xf>
    <xf numFmtId="0" fontId="17" fillId="20" borderId="41" xfId="0" applyFont="1" applyFill="1" applyBorder="1" applyAlignment="1">
      <alignment horizontal="center" vertical="center"/>
    </xf>
    <xf numFmtId="0" fontId="11" fillId="18" borderId="50" xfId="76" applyFill="1" applyBorder="1" applyAlignment="1">
      <alignment horizontal="center"/>
    </xf>
    <xf numFmtId="2" fontId="17" fillId="13" borderId="12" xfId="6" applyNumberFormat="1" applyFont="1" applyFill="1" applyBorder="1" applyAlignment="1">
      <alignment horizontal="center" vertical="center"/>
    </xf>
    <xf numFmtId="1" fontId="17" fillId="13" borderId="12" xfId="6" applyNumberFormat="1" applyFont="1" applyFill="1" applyBorder="1" applyAlignment="1">
      <alignment horizontal="center" vertical="center"/>
    </xf>
    <xf numFmtId="0" fontId="50" fillId="18" borderId="12" xfId="76" applyFont="1" applyFill="1" applyBorder="1" applyAlignment="1">
      <alignment horizontal="center"/>
    </xf>
    <xf numFmtId="0" fontId="11" fillId="18" borderId="50" xfId="0" applyFont="1" applyFill="1" applyBorder="1" applyAlignment="1">
      <alignment horizontal="center"/>
    </xf>
    <xf numFmtId="1" fontId="17" fillId="20" borderId="12" xfId="0" applyNumberFormat="1" applyFont="1" applyFill="1" applyBorder="1" applyAlignment="1">
      <alignment horizontal="center" vertical="center"/>
    </xf>
    <xf numFmtId="2" fontId="17" fillId="20" borderId="12" xfId="0" applyNumberFormat="1" applyFont="1" applyFill="1" applyBorder="1" applyAlignment="1">
      <alignment horizontal="center" vertical="center"/>
    </xf>
    <xf numFmtId="0" fontId="5" fillId="13" borderId="25" xfId="0" applyFont="1" applyFill="1" applyBorder="1" applyAlignment="1">
      <alignment horizontal="center" vertical="center"/>
    </xf>
    <xf numFmtId="0" fontId="5" fillId="13" borderId="25" xfId="0" applyFont="1" applyFill="1" applyBorder="1" applyAlignment="1">
      <alignment vertical="center" wrapText="1"/>
    </xf>
    <xf numFmtId="0" fontId="5" fillId="13" borderId="0" xfId="0" applyFont="1" applyFill="1" applyAlignment="1">
      <alignment vertical="center" wrapText="1"/>
    </xf>
    <xf numFmtId="0" fontId="15" fillId="13" borderId="46" xfId="0" applyFont="1" applyFill="1" applyBorder="1" applyAlignment="1">
      <alignment horizontal="center"/>
    </xf>
    <xf numFmtId="1" fontId="15" fillId="13" borderId="19" xfId="0" applyNumberFormat="1" applyFont="1" applyFill="1" applyBorder="1" applyAlignment="1">
      <alignment horizontal="center"/>
    </xf>
    <xf numFmtId="0" fontId="4" fillId="13" borderId="8" xfId="0" applyFont="1" applyFill="1" applyBorder="1"/>
    <xf numFmtId="0" fontId="5" fillId="13" borderId="24" xfId="0" applyFont="1" applyFill="1" applyBorder="1" applyAlignment="1">
      <alignment horizontal="center" vertical="center"/>
    </xf>
    <xf numFmtId="0" fontId="5" fillId="13" borderId="5" xfId="0" applyFont="1" applyFill="1" applyBorder="1" applyAlignment="1">
      <alignment horizontal="center" vertical="center"/>
    </xf>
    <xf numFmtId="0" fontId="5" fillId="13" borderId="32" xfId="0" applyFont="1" applyFill="1" applyBorder="1" applyAlignment="1">
      <alignment horizontal="center" vertical="center"/>
    </xf>
    <xf numFmtId="0" fontId="11" fillId="18" borderId="48" xfId="76" applyFill="1" applyBorder="1" applyAlignment="1">
      <alignment horizontal="center"/>
    </xf>
    <xf numFmtId="49" fontId="11" fillId="18" borderId="70" xfId="76" applyNumberFormat="1" applyFill="1" applyBorder="1" applyAlignment="1">
      <alignment horizontal="center"/>
    </xf>
    <xf numFmtId="1" fontId="11" fillId="18" borderId="12" xfId="76" applyNumberFormat="1" applyFill="1" applyBorder="1" applyAlignment="1">
      <alignment horizontal="center"/>
    </xf>
    <xf numFmtId="0" fontId="0" fillId="18" borderId="12" xfId="0" applyFill="1" applyBorder="1" applyAlignment="1">
      <alignment horizontal="center" wrapText="1"/>
    </xf>
    <xf numFmtId="0" fontId="11" fillId="18" borderId="12" xfId="76" applyFill="1" applyBorder="1" applyAlignment="1">
      <alignment horizontal="center"/>
    </xf>
    <xf numFmtId="0" fontId="17" fillId="20" borderId="12" xfId="0" applyFont="1" applyFill="1" applyBorder="1" applyAlignment="1">
      <alignment horizontal="center" vertical="center"/>
    </xf>
    <xf numFmtId="0" fontId="50" fillId="20" borderId="12" xfId="0" applyFont="1" applyFill="1" applyBorder="1" applyAlignment="1">
      <alignment horizontal="center" vertical="center"/>
    </xf>
    <xf numFmtId="165" fontId="50" fillId="18" borderId="12" xfId="76" applyNumberFormat="1" applyFont="1" applyFill="1" applyBorder="1" applyAlignment="1">
      <alignment horizontal="center"/>
    </xf>
    <xf numFmtId="1" fontId="50" fillId="18" borderId="12" xfId="76" applyNumberFormat="1" applyFont="1" applyFill="1" applyBorder="1" applyAlignment="1">
      <alignment horizontal="center"/>
    </xf>
    <xf numFmtId="2" fontId="50" fillId="18" borderId="12" xfId="76" applyNumberFormat="1" applyFont="1" applyFill="1" applyBorder="1" applyAlignment="1">
      <alignment horizontal="center"/>
    </xf>
    <xf numFmtId="0" fontId="4" fillId="13" borderId="20" xfId="0" applyFont="1" applyFill="1" applyBorder="1" applyAlignment="1">
      <alignment horizontal="center" vertical="center"/>
    </xf>
    <xf numFmtId="0" fontId="4" fillId="13" borderId="21" xfId="0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7" fillId="20" borderId="18" xfId="0" applyFont="1" applyFill="1" applyBorder="1" applyAlignment="1">
      <alignment horizontal="center" vertical="center"/>
    </xf>
    <xf numFmtId="1" fontId="16" fillId="0" borderId="16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1" fontId="4" fillId="0" borderId="3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5" fillId="0" borderId="28" xfId="0" applyNumberFormat="1" applyFont="1" applyBorder="1" applyAlignment="1">
      <alignment horizontal="center" vertical="center" wrapText="1"/>
    </xf>
    <xf numFmtId="0" fontId="4" fillId="20" borderId="45" xfId="0" applyFont="1" applyFill="1" applyBorder="1" applyAlignment="1">
      <alignment horizontal="center" vertical="center"/>
    </xf>
    <xf numFmtId="0" fontId="4" fillId="20" borderId="5" xfId="0" applyFont="1" applyFill="1" applyBorder="1" applyAlignment="1">
      <alignment horizontal="center" vertical="center"/>
    </xf>
    <xf numFmtId="1" fontId="7" fillId="0" borderId="62" xfId="0" applyNumberFormat="1" applyFont="1" applyBorder="1" applyAlignment="1">
      <alignment horizontal="center" vertical="center" wrapText="1"/>
    </xf>
    <xf numFmtId="1" fontId="5" fillId="0" borderId="62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16" fillId="13" borderId="21" xfId="0" applyFont="1" applyFill="1" applyBorder="1" applyAlignment="1">
      <alignment horizontal="center"/>
    </xf>
    <xf numFmtId="0" fontId="5" fillId="13" borderId="21" xfId="0" applyFont="1" applyFill="1" applyBorder="1" applyAlignment="1">
      <alignment horizontal="left"/>
    </xf>
    <xf numFmtId="2" fontId="16" fillId="13" borderId="21" xfId="0" applyNumberFormat="1" applyFont="1" applyFill="1" applyBorder="1" applyAlignment="1">
      <alignment horizontal="center"/>
    </xf>
    <xf numFmtId="2" fontId="5" fillId="13" borderId="22" xfId="0" applyNumberFormat="1" applyFont="1" applyFill="1" applyBorder="1" applyAlignment="1">
      <alignment horizontal="center"/>
    </xf>
    <xf numFmtId="2" fontId="5" fillId="13" borderId="10" xfId="0" applyNumberFormat="1" applyFont="1" applyFill="1" applyBorder="1" applyAlignment="1">
      <alignment horizontal="center"/>
    </xf>
    <xf numFmtId="2" fontId="17" fillId="0" borderId="10" xfId="0" applyNumberFormat="1" applyFont="1" applyBorder="1" applyAlignment="1">
      <alignment horizontal="center" vertical="center"/>
    </xf>
    <xf numFmtId="1" fontId="4" fillId="13" borderId="10" xfId="0" applyNumberFormat="1" applyFont="1" applyFill="1" applyBorder="1" applyAlignment="1">
      <alignment horizontal="center"/>
    </xf>
    <xf numFmtId="1" fontId="4" fillId="13" borderId="14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1" fontId="17" fillId="16" borderId="31" xfId="0" applyNumberFormat="1" applyFont="1" applyFill="1" applyBorder="1" applyAlignment="1">
      <alignment horizontal="center" vertical="center"/>
    </xf>
    <xf numFmtId="1" fontId="16" fillId="0" borderId="51" xfId="0" applyNumberFormat="1" applyFont="1" applyBorder="1" applyAlignment="1">
      <alignment horizontal="center" vertical="center"/>
    </xf>
    <xf numFmtId="1" fontId="16" fillId="0" borderId="25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0" fontId="7" fillId="13" borderId="15" xfId="0" applyFont="1" applyFill="1" applyBorder="1" applyAlignment="1">
      <alignment horizontal="center" vertical="center"/>
    </xf>
    <xf numFmtId="0" fontId="7" fillId="13" borderId="47" xfId="0" applyFont="1" applyFill="1" applyBorder="1" applyAlignment="1">
      <alignment horizontal="center" vertical="center"/>
    </xf>
    <xf numFmtId="0" fontId="4" fillId="13" borderId="18" xfId="0" applyFont="1" applyFill="1" applyBorder="1" applyAlignment="1">
      <alignment horizontal="center" vertical="center"/>
    </xf>
    <xf numFmtId="0" fontId="4" fillId="13" borderId="75" xfId="0" applyFont="1" applyFill="1" applyBorder="1" applyAlignment="1">
      <alignment horizontal="center" vertical="center"/>
    </xf>
    <xf numFmtId="0" fontId="4" fillId="13" borderId="78" xfId="0" applyFont="1" applyFill="1" applyBorder="1" applyAlignment="1">
      <alignment horizontal="center" vertical="center"/>
    </xf>
    <xf numFmtId="0" fontId="9" fillId="13" borderId="29" xfId="0" applyFont="1" applyFill="1" applyBorder="1" applyAlignment="1">
      <alignment horizontal="center" vertical="center"/>
    </xf>
    <xf numFmtId="0" fontId="29" fillId="13" borderId="0" xfId="0" applyFont="1" applyFill="1" applyAlignment="1">
      <alignment horizontal="left" vertical="center"/>
    </xf>
    <xf numFmtId="0" fontId="9" fillId="13" borderId="24" xfId="0" applyFont="1" applyFill="1" applyBorder="1" applyAlignment="1">
      <alignment horizontal="center" vertical="center"/>
    </xf>
    <xf numFmtId="0" fontId="30" fillId="13" borderId="32" xfId="0" applyFont="1" applyFill="1" applyBorder="1" applyAlignment="1">
      <alignment horizontal="center" vertical="center"/>
    </xf>
    <xf numFmtId="0" fontId="9" fillId="13" borderId="3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center" vertical="center"/>
    </xf>
    <xf numFmtId="0" fontId="31" fillId="13" borderId="0" xfId="0" applyFont="1" applyFill="1" applyAlignment="1">
      <alignment vertical="center"/>
    </xf>
    <xf numFmtId="0" fontId="31" fillId="13" borderId="0" xfId="0" applyFont="1" applyFill="1" applyAlignment="1">
      <alignment horizontal="left" vertical="center" wrapText="1"/>
    </xf>
    <xf numFmtId="0" fontId="4" fillId="13" borderId="0" xfId="0" applyFont="1" applyFill="1" applyAlignment="1">
      <alignment vertical="center" wrapText="1"/>
    </xf>
    <xf numFmtId="0" fontId="4" fillId="13" borderId="0" xfId="0" applyFont="1" applyFill="1" applyAlignment="1">
      <alignment horizontal="left" vertical="center" wrapText="1"/>
    </xf>
    <xf numFmtId="0" fontId="4" fillId="13" borderId="12" xfId="0" applyFont="1" applyFill="1" applyBorder="1" applyAlignment="1">
      <alignment horizontal="center" vertical="center" wrapText="1"/>
    </xf>
    <xf numFmtId="0" fontId="4" fillId="13" borderId="16" xfId="0" applyFont="1" applyFill="1" applyBorder="1" applyAlignment="1">
      <alignment horizontal="center" vertical="center" wrapText="1"/>
    </xf>
    <xf numFmtId="0" fontId="5" fillId="13" borderId="24" xfId="0" applyFont="1" applyFill="1" applyBorder="1" applyAlignment="1">
      <alignment vertical="center" wrapText="1"/>
    </xf>
    <xf numFmtId="0" fontId="5" fillId="13" borderId="25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vertical="center" wrapText="1"/>
    </xf>
    <xf numFmtId="0" fontId="5" fillId="13" borderId="0" xfId="0" applyFont="1" applyFill="1" applyAlignment="1">
      <alignment horizontal="left" vertical="center" wrapText="1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13" borderId="0" xfId="0" applyFont="1" applyFill="1"/>
    <xf numFmtId="0" fontId="4" fillId="0" borderId="1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1" fontId="16" fillId="0" borderId="1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13" borderId="11" xfId="0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center" vertical="center"/>
    </xf>
    <xf numFmtId="0" fontId="4" fillId="13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26" xfId="0" applyFont="1" applyFill="1" applyBorder="1" applyAlignment="1">
      <alignment horizontal="center" vertical="center"/>
    </xf>
    <xf numFmtId="0" fontId="4" fillId="13" borderId="27" xfId="0" applyFont="1" applyFill="1" applyBorder="1" applyAlignment="1">
      <alignment horizontal="center" vertical="center"/>
    </xf>
    <xf numFmtId="0" fontId="4" fillId="13" borderId="20" xfId="0" applyFont="1" applyFill="1" applyBorder="1" applyAlignment="1">
      <alignment horizontal="center" vertical="center"/>
    </xf>
    <xf numFmtId="0" fontId="4" fillId="13" borderId="21" xfId="0" applyFont="1" applyFill="1" applyBorder="1" applyAlignment="1">
      <alignment horizontal="center" vertical="center"/>
    </xf>
    <xf numFmtId="0" fontId="4" fillId="13" borderId="22" xfId="0" applyFont="1" applyFill="1" applyBorder="1" applyAlignment="1">
      <alignment horizontal="center" vertical="center"/>
    </xf>
    <xf numFmtId="0" fontId="4" fillId="13" borderId="16" xfId="0" applyFont="1" applyFill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4" fillId="13" borderId="76" xfId="0" applyFont="1" applyFill="1" applyBorder="1" applyAlignment="1">
      <alignment horizontal="center" vertical="center"/>
    </xf>
    <xf numFmtId="0" fontId="4" fillId="13" borderId="40" xfId="0" applyFont="1" applyFill="1" applyBorder="1" applyAlignment="1">
      <alignment horizontal="center" vertical="center"/>
    </xf>
    <xf numFmtId="0" fontId="4" fillId="13" borderId="41" xfId="0" applyFont="1" applyFill="1" applyBorder="1" applyAlignment="1">
      <alignment horizontal="center" vertical="center"/>
    </xf>
    <xf numFmtId="0" fontId="4" fillId="13" borderId="77" xfId="0" applyFont="1" applyFill="1" applyBorder="1" applyAlignment="1">
      <alignment horizontal="center" vertical="center"/>
    </xf>
    <xf numFmtId="0" fontId="4" fillId="13" borderId="46" xfId="0" applyFont="1" applyFill="1" applyBorder="1" applyAlignment="1">
      <alignment horizontal="center" vertical="center"/>
    </xf>
    <xf numFmtId="1" fontId="16" fillId="0" borderId="8" xfId="0" applyNumberFormat="1" applyFont="1" applyBorder="1" applyAlignment="1">
      <alignment horizontal="center" vertical="center"/>
    </xf>
    <xf numFmtId="1" fontId="16" fillId="0" borderId="12" xfId="0" applyNumberFormat="1" applyFont="1" applyBorder="1" applyAlignment="1">
      <alignment horizontal="center" vertical="center"/>
    </xf>
    <xf numFmtId="0" fontId="4" fillId="13" borderId="24" xfId="0" applyFont="1" applyFill="1" applyBorder="1" applyAlignment="1">
      <alignment horizontal="center" vertical="center"/>
    </xf>
    <xf numFmtId="0" fontId="4" fillId="13" borderId="25" xfId="0" applyFont="1" applyFill="1" applyBorder="1" applyAlignment="1">
      <alignment horizontal="center" vertical="center"/>
    </xf>
    <xf numFmtId="0" fontId="4" fillId="13" borderId="5" xfId="0" applyFont="1" applyFill="1" applyBorder="1" applyAlignment="1">
      <alignment horizontal="center" vertical="center"/>
    </xf>
    <xf numFmtId="0" fontId="9" fillId="13" borderId="29" xfId="0" applyFont="1" applyFill="1" applyBorder="1" applyAlignment="1">
      <alignment horizontal="center" vertical="center"/>
    </xf>
    <xf numFmtId="0" fontId="5" fillId="13" borderId="46" xfId="0" applyFont="1" applyFill="1" applyBorder="1" applyAlignment="1">
      <alignment horizontal="center" vertical="center"/>
    </xf>
    <xf numFmtId="0" fontId="7" fillId="13" borderId="47" xfId="0" applyFont="1" applyFill="1" applyBorder="1" applyAlignment="1">
      <alignment horizontal="center" vertical="center"/>
    </xf>
    <xf numFmtId="0" fontId="9" fillId="13" borderId="25" xfId="0" applyFont="1" applyFill="1" applyBorder="1" applyAlignment="1">
      <alignment horizontal="center" vertical="center"/>
    </xf>
    <xf numFmtId="0" fontId="7" fillId="13" borderId="12" xfId="0" applyFont="1" applyFill="1" applyBorder="1" applyAlignment="1">
      <alignment horizontal="center"/>
    </xf>
    <xf numFmtId="0" fontId="7" fillId="13" borderId="10" xfId="0" applyFont="1" applyFill="1" applyBorder="1" applyAlignment="1">
      <alignment horizontal="center"/>
    </xf>
    <xf numFmtId="0" fontId="7" fillId="13" borderId="18" xfId="0" applyFont="1" applyFill="1" applyBorder="1" applyAlignment="1">
      <alignment horizontal="center"/>
    </xf>
    <xf numFmtId="0" fontId="4" fillId="13" borderId="3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8" fillId="13" borderId="46" xfId="0" applyFont="1" applyFill="1" applyBorder="1" applyAlignment="1">
      <alignment horizontal="center"/>
    </xf>
    <xf numFmtId="0" fontId="28" fillId="13" borderId="31" xfId="0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0" fontId="65" fillId="15" borderId="48" xfId="0" applyFont="1" applyFill="1" applyBorder="1" applyAlignment="1">
      <alignment horizontal="center" vertical="center"/>
    </xf>
    <xf numFmtId="1" fontId="11" fillId="11" borderId="54" xfId="76" applyNumberFormat="1" applyFill="1" applyBorder="1" applyAlignment="1">
      <alignment horizontal="center"/>
    </xf>
    <xf numFmtId="0" fontId="11" fillId="11" borderId="37" xfId="0" applyFont="1" applyFill="1" applyBorder="1" applyAlignment="1">
      <alignment horizontal="center"/>
    </xf>
    <xf numFmtId="0" fontId="0" fillId="11" borderId="21" xfId="0" applyFill="1" applyBorder="1" applyAlignment="1">
      <alignment horizontal="center" wrapText="1"/>
    </xf>
    <xf numFmtId="0" fontId="17" fillId="0" borderId="0" xfId="0" applyFont="1" applyAlignment="1">
      <alignment horizontal="left" vertical="center"/>
    </xf>
    <xf numFmtId="0" fontId="4" fillId="0" borderId="3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" fontId="16" fillId="0" borderId="10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2" fontId="16" fillId="0" borderId="16" xfId="0" applyNumberFormat="1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center" vertical="center"/>
    </xf>
    <xf numFmtId="2" fontId="16" fillId="0" borderId="57" xfId="0" applyNumberFormat="1" applyFont="1" applyBorder="1" applyAlignment="1">
      <alignment horizontal="center" vertical="center"/>
    </xf>
    <xf numFmtId="2" fontId="17" fillId="0" borderId="60" xfId="0" applyNumberFormat="1" applyFont="1" applyBorder="1" applyAlignment="1">
      <alignment horizontal="center" vertical="center"/>
    </xf>
    <xf numFmtId="165" fontId="17" fillId="0" borderId="12" xfId="0" applyNumberFormat="1" applyFont="1" applyBorder="1" applyAlignment="1">
      <alignment horizontal="center" vertical="center"/>
    </xf>
    <xf numFmtId="2" fontId="17" fillId="0" borderId="14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/>
    </xf>
    <xf numFmtId="0" fontId="15" fillId="0" borderId="3" xfId="137" applyFont="1" applyBorder="1" applyAlignment="1">
      <alignment horizontal="right" wrapText="1"/>
    </xf>
    <xf numFmtId="0" fontId="15" fillId="0" borderId="4" xfId="137" applyFont="1" applyBorder="1" applyAlignment="1">
      <alignment horizontal="right" wrapText="1"/>
    </xf>
    <xf numFmtId="0" fontId="17" fillId="0" borderId="57" xfId="0" applyFont="1" applyBorder="1" applyAlignment="1"/>
    <xf numFmtId="0" fontId="17" fillId="0" borderId="23" xfId="0" applyFont="1" applyBorder="1" applyAlignment="1"/>
    <xf numFmtId="0" fontId="15" fillId="0" borderId="45" xfId="137" applyFont="1" applyBorder="1" applyAlignment="1">
      <alignment horizontal="right" wrapText="1"/>
    </xf>
    <xf numFmtId="165" fontId="17" fillId="0" borderId="25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165" fontId="17" fillId="20" borderId="12" xfId="0" applyNumberFormat="1" applyFont="1" applyFill="1" applyBorder="1" applyAlignment="1">
      <alignment horizontal="center" vertical="center"/>
    </xf>
    <xf numFmtId="165" fontId="17" fillId="0" borderId="40" xfId="0" applyNumberFormat="1" applyFont="1" applyBorder="1" applyAlignment="1">
      <alignment horizontal="center" vertical="center"/>
    </xf>
    <xf numFmtId="165" fontId="15" fillId="0" borderId="40" xfId="0" applyNumberFormat="1" applyFont="1" applyBorder="1" applyAlignment="1">
      <alignment horizontal="center" vertical="center"/>
    </xf>
    <xf numFmtId="1" fontId="17" fillId="10" borderId="46" xfId="0" applyNumberFormat="1" applyFont="1" applyFill="1" applyBorder="1" applyAlignment="1">
      <alignment horizontal="center" vertical="center"/>
    </xf>
    <xf numFmtId="1" fontId="17" fillId="10" borderId="19" xfId="0" applyNumberFormat="1" applyFont="1" applyFill="1" applyBorder="1" applyAlignment="1">
      <alignment horizontal="center" vertical="center"/>
    </xf>
    <xf numFmtId="1" fontId="17" fillId="10" borderId="31" xfId="0" applyNumberFormat="1" applyFont="1" applyFill="1" applyBorder="1" applyAlignment="1">
      <alignment horizontal="center" vertical="center"/>
    </xf>
    <xf numFmtId="0" fontId="52" fillId="10" borderId="46" xfId="0" applyFont="1" applyFill="1" applyBorder="1" applyAlignment="1">
      <alignment horizontal="center" vertical="center"/>
    </xf>
    <xf numFmtId="0" fontId="52" fillId="10" borderId="19" xfId="0" applyFont="1" applyFill="1" applyBorder="1" applyAlignment="1">
      <alignment horizontal="center" vertical="center"/>
    </xf>
    <xf numFmtId="0" fontId="52" fillId="10" borderId="31" xfId="0" applyFont="1" applyFill="1" applyBorder="1" applyAlignment="1">
      <alignment horizontal="center" vertical="center"/>
    </xf>
    <xf numFmtId="49" fontId="4" fillId="10" borderId="53" xfId="0" applyNumberFormat="1" applyFont="1" applyFill="1" applyBorder="1" applyAlignment="1">
      <alignment horizontal="center"/>
    </xf>
    <xf numFmtId="49" fontId="4" fillId="10" borderId="54" xfId="0" applyNumberFormat="1" applyFont="1" applyFill="1" applyBorder="1" applyAlignment="1">
      <alignment horizontal="center"/>
    </xf>
    <xf numFmtId="49" fontId="4" fillId="10" borderId="55" xfId="0" applyNumberFormat="1" applyFont="1" applyFill="1" applyBorder="1" applyAlignment="1">
      <alignment horizontal="center"/>
    </xf>
    <xf numFmtId="0" fontId="52" fillId="10" borderId="46" xfId="0" applyFont="1" applyFill="1" applyBorder="1" applyAlignment="1">
      <alignment horizontal="center"/>
    </xf>
    <xf numFmtId="0" fontId="52" fillId="10" borderId="19" xfId="0" applyFont="1" applyFill="1" applyBorder="1" applyAlignment="1">
      <alignment horizontal="center"/>
    </xf>
    <xf numFmtId="0" fontId="52" fillId="10" borderId="31" xfId="0" applyFont="1" applyFill="1" applyBorder="1" applyAlignment="1">
      <alignment horizontal="center"/>
    </xf>
    <xf numFmtId="49" fontId="4" fillId="10" borderId="7" xfId="0" applyNumberFormat="1" applyFont="1" applyFill="1" applyBorder="1" applyAlignment="1">
      <alignment horizontal="center"/>
    </xf>
    <xf numFmtId="49" fontId="4" fillId="10" borderId="8" xfId="0" applyNumberFormat="1" applyFont="1" applyFill="1" applyBorder="1" applyAlignment="1">
      <alignment horizontal="center"/>
    </xf>
    <xf numFmtId="49" fontId="4" fillId="10" borderId="6" xfId="0" applyNumberFormat="1" applyFont="1" applyFill="1" applyBorder="1" applyAlignment="1">
      <alignment horizontal="center"/>
    </xf>
    <xf numFmtId="1" fontId="17" fillId="10" borderId="24" xfId="0" applyNumberFormat="1" applyFont="1" applyFill="1" applyBorder="1" applyAlignment="1">
      <alignment horizontal="center" vertical="center"/>
    </xf>
    <xf numFmtId="1" fontId="17" fillId="13" borderId="25" xfId="0" applyNumberFormat="1" applyFont="1" applyFill="1" applyBorder="1" applyAlignment="1">
      <alignment horizontal="center" vertical="center"/>
    </xf>
    <xf numFmtId="1" fontId="17" fillId="10" borderId="29" xfId="0" applyNumberFormat="1" applyFont="1" applyFill="1" applyBorder="1" applyAlignment="1">
      <alignment horizontal="center" vertical="center"/>
    </xf>
    <xf numFmtId="0" fontId="52" fillId="10" borderId="24" xfId="0" applyFont="1" applyFill="1" applyBorder="1" applyAlignment="1">
      <alignment horizontal="center"/>
    </xf>
    <xf numFmtId="0" fontId="52" fillId="10" borderId="25" xfId="0" applyFont="1" applyFill="1" applyBorder="1" applyAlignment="1">
      <alignment horizontal="center"/>
    </xf>
    <xf numFmtId="0" fontId="52" fillId="10" borderId="29" xfId="0" applyFont="1" applyFill="1" applyBorder="1" applyAlignment="1">
      <alignment horizontal="center"/>
    </xf>
    <xf numFmtId="0" fontId="4" fillId="10" borderId="20" xfId="0" applyFont="1" applyFill="1" applyBorder="1" applyAlignment="1">
      <alignment horizontal="left"/>
    </xf>
    <xf numFmtId="0" fontId="4" fillId="10" borderId="21" xfId="0" applyFont="1" applyFill="1" applyBorder="1" applyAlignment="1">
      <alignment horizontal="left"/>
    </xf>
    <xf numFmtId="0" fontId="4" fillId="10" borderId="22" xfId="0" applyFont="1" applyFill="1" applyBorder="1" applyAlignment="1">
      <alignment horizontal="left"/>
    </xf>
    <xf numFmtId="3" fontId="17" fillId="10" borderId="46" xfId="0" applyNumberFormat="1" applyFont="1" applyFill="1" applyBorder="1" applyAlignment="1">
      <alignment horizontal="center" vertical="center"/>
    </xf>
    <xf numFmtId="3" fontId="17" fillId="10" borderId="19" xfId="0" applyNumberFormat="1" applyFont="1" applyFill="1" applyBorder="1" applyAlignment="1">
      <alignment horizontal="center" vertical="center"/>
    </xf>
    <xf numFmtId="3" fontId="17" fillId="10" borderId="31" xfId="0" applyNumberFormat="1" applyFont="1" applyFill="1" applyBorder="1" applyAlignment="1">
      <alignment horizontal="center" vertical="center"/>
    </xf>
    <xf numFmtId="0" fontId="4" fillId="13" borderId="11" xfId="0" applyFont="1" applyFill="1" applyBorder="1" applyAlignment="1">
      <alignment horizontal="left"/>
    </xf>
    <xf numFmtId="0" fontId="4" fillId="13" borderId="12" xfId="0" applyFont="1" applyFill="1" applyBorder="1" applyAlignment="1">
      <alignment horizontal="left"/>
    </xf>
    <xf numFmtId="0" fontId="4" fillId="10" borderId="10" xfId="0" applyFont="1" applyFill="1" applyBorder="1" applyAlignment="1">
      <alignment horizontal="left"/>
    </xf>
    <xf numFmtId="49" fontId="4" fillId="10" borderId="9" xfId="0" applyNumberFormat="1" applyFont="1" applyFill="1" applyBorder="1" applyAlignment="1">
      <alignment horizontal="center"/>
    </xf>
    <xf numFmtId="49" fontId="52" fillId="10" borderId="46" xfId="0" applyNumberFormat="1" applyFont="1" applyFill="1" applyBorder="1" applyAlignment="1">
      <alignment horizontal="center"/>
    </xf>
    <xf numFmtId="49" fontId="52" fillId="10" borderId="19" xfId="0" applyNumberFormat="1" applyFont="1" applyFill="1" applyBorder="1" applyAlignment="1">
      <alignment horizontal="center"/>
    </xf>
    <xf numFmtId="49" fontId="52" fillId="10" borderId="31" xfId="0" applyNumberFormat="1" applyFont="1" applyFill="1" applyBorder="1" applyAlignment="1">
      <alignment horizontal="center"/>
    </xf>
    <xf numFmtId="0" fontId="80" fillId="0" borderId="46" xfId="0" applyFont="1" applyBorder="1" applyAlignment="1">
      <alignment horizontal="center"/>
    </xf>
    <xf numFmtId="0" fontId="80" fillId="0" borderId="19" xfId="0" applyFont="1" applyBorder="1" applyAlignment="1">
      <alignment horizontal="center"/>
    </xf>
    <xf numFmtId="0" fontId="80" fillId="0" borderId="31" xfId="0" applyFont="1" applyBorder="1" applyAlignment="1">
      <alignment horizontal="center"/>
    </xf>
    <xf numFmtId="0" fontId="4" fillId="13" borderId="11" xfId="0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17" fillId="10" borderId="46" xfId="0" applyFont="1" applyFill="1" applyBorder="1" applyAlignment="1">
      <alignment horizontal="center"/>
    </xf>
    <xf numFmtId="0" fontId="17" fillId="10" borderId="19" xfId="0" applyFont="1" applyFill="1" applyBorder="1" applyAlignment="1">
      <alignment horizontal="center"/>
    </xf>
    <xf numFmtId="0" fontId="17" fillId="10" borderId="31" xfId="0" applyFont="1" applyFill="1" applyBorder="1" applyAlignment="1">
      <alignment horizontal="center"/>
    </xf>
    <xf numFmtId="1" fontId="80" fillId="0" borderId="79" xfId="0" applyNumberFormat="1" applyFont="1" applyBorder="1" applyAlignment="1">
      <alignment horizontal="center"/>
    </xf>
    <xf numFmtId="1" fontId="80" fillId="0" borderId="58" xfId="0" applyNumberFormat="1" applyFont="1" applyBorder="1" applyAlignment="1">
      <alignment horizontal="center"/>
    </xf>
    <xf numFmtId="1" fontId="80" fillId="0" borderId="59" xfId="0" applyNumberFormat="1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57" xfId="0" applyFont="1" applyFill="1" applyBorder="1" applyAlignment="1">
      <alignment horizontal="center" vertical="center"/>
    </xf>
    <xf numFmtId="0" fontId="4" fillId="10" borderId="6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13" borderId="13" xfId="0" applyFont="1" applyFill="1" applyBorder="1" applyAlignment="1">
      <alignment horizontal="center" vertical="center"/>
    </xf>
    <xf numFmtId="0" fontId="4" fillId="13" borderId="15" xfId="0" applyFont="1" applyFill="1" applyBorder="1" applyAlignment="1">
      <alignment horizontal="center" vertical="center"/>
    </xf>
    <xf numFmtId="0" fontId="4" fillId="17" borderId="16" xfId="0" applyFont="1" applyFill="1" applyBorder="1" applyAlignment="1">
      <alignment horizontal="center" vertical="center"/>
    </xf>
    <xf numFmtId="0" fontId="5" fillId="0" borderId="9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79" xfId="0" applyFont="1" applyBorder="1" applyAlignment="1">
      <alignment horizontal="left" vertical="center" wrapText="1"/>
    </xf>
    <xf numFmtId="0" fontId="5" fillId="0" borderId="58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4" fillId="0" borderId="11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16" fillId="0" borderId="23" xfId="0" applyFont="1" applyBorder="1" applyAlignment="1">
      <alignment horizontal="left"/>
    </xf>
    <xf numFmtId="0" fontId="16" fillId="0" borderId="57" xfId="0" applyFont="1" applyBorder="1" applyAlignment="1">
      <alignment horizontal="left"/>
    </xf>
    <xf numFmtId="0" fontId="16" fillId="0" borderId="82" xfId="0" applyFont="1" applyBorder="1" applyAlignment="1">
      <alignment horizontal="left"/>
    </xf>
    <xf numFmtId="0" fontId="16" fillId="0" borderId="56" xfId="0" applyFont="1" applyBorder="1" applyAlignment="1">
      <alignment horizontal="left"/>
    </xf>
    <xf numFmtId="0" fontId="17" fillId="0" borderId="23" xfId="0" applyFont="1" applyBorder="1" applyAlignment="1">
      <alignment horizontal="left"/>
    </xf>
    <xf numFmtId="0" fontId="17" fillId="0" borderId="57" xfId="0" applyFont="1" applyBorder="1" applyAlignment="1">
      <alignment horizontal="left"/>
    </xf>
    <xf numFmtId="0" fontId="7" fillId="0" borderId="15" xfId="137" applyFont="1" applyBorder="1" applyAlignment="1">
      <alignment horizontal="left" wrapText="1"/>
    </xf>
    <xf numFmtId="0" fontId="7" fillId="0" borderId="16" xfId="137" applyFont="1" applyBorder="1" applyAlignment="1">
      <alignment horizontal="left" wrapText="1"/>
    </xf>
    <xf numFmtId="0" fontId="4" fillId="13" borderId="92" xfId="0" applyFont="1" applyFill="1" applyBorder="1" applyAlignment="1">
      <alignment horizontal="center" vertical="center"/>
    </xf>
    <xf numFmtId="0" fontId="4" fillId="13" borderId="43" xfId="0" applyFont="1" applyFill="1" applyBorder="1" applyAlignment="1">
      <alignment horizontal="center" vertical="center"/>
    </xf>
    <xf numFmtId="0" fontId="4" fillId="13" borderId="44" xfId="0" applyFont="1" applyFill="1" applyBorder="1" applyAlignment="1">
      <alignment horizontal="center" vertical="center"/>
    </xf>
    <xf numFmtId="0" fontId="4" fillId="13" borderId="79" xfId="0" applyFont="1" applyFill="1" applyBorder="1" applyAlignment="1">
      <alignment horizontal="center" vertical="center"/>
    </xf>
    <xf numFmtId="0" fontId="4" fillId="13" borderId="58" xfId="0" applyFont="1" applyFill="1" applyBorder="1" applyAlignment="1">
      <alignment horizontal="center" vertical="center"/>
    </xf>
    <xf numFmtId="0" fontId="4" fillId="13" borderId="59" xfId="0" applyFont="1" applyFill="1" applyBorder="1" applyAlignment="1">
      <alignment horizontal="center" vertical="center"/>
    </xf>
    <xf numFmtId="0" fontId="11" fillId="0" borderId="11" xfId="137" applyBorder="1" applyAlignment="1">
      <alignment horizontal="left" wrapText="1"/>
    </xf>
    <xf numFmtId="0" fontId="11" fillId="0" borderId="12" xfId="137" applyBorder="1" applyAlignment="1">
      <alignment horizontal="left" wrapText="1"/>
    </xf>
    <xf numFmtId="0" fontId="7" fillId="0" borderId="20" xfId="137" applyFont="1" applyBorder="1" applyAlignment="1">
      <alignment horizontal="left" wrapText="1"/>
    </xf>
    <xf numFmtId="0" fontId="7" fillId="0" borderId="21" xfId="137" applyFont="1" applyBorder="1" applyAlignment="1">
      <alignment horizontal="left" wrapText="1"/>
    </xf>
    <xf numFmtId="0" fontId="7" fillId="0" borderId="11" xfId="137" applyFont="1" applyBorder="1" applyAlignment="1">
      <alignment horizontal="left" wrapText="1"/>
    </xf>
    <xf numFmtId="0" fontId="7" fillId="0" borderId="12" xfId="137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5" fillId="9" borderId="11" xfId="0" applyFont="1" applyFill="1" applyBorder="1" applyAlignment="1">
      <alignment horizontal="left"/>
    </xf>
    <xf numFmtId="0" fontId="5" fillId="9" borderId="12" xfId="0" applyFont="1" applyFill="1" applyBorder="1" applyAlignment="1">
      <alignment horizontal="left"/>
    </xf>
    <xf numFmtId="0" fontId="5" fillId="9" borderId="13" xfId="0" applyFont="1" applyFill="1" applyBorder="1" applyAlignment="1">
      <alignment horizontal="left"/>
    </xf>
    <xf numFmtId="0" fontId="5" fillId="9" borderId="10" xfId="0" applyFont="1" applyFill="1" applyBorder="1" applyAlignment="1">
      <alignment horizontal="left"/>
    </xf>
    <xf numFmtId="0" fontId="4" fillId="0" borderId="23" xfId="0" applyFont="1" applyBorder="1" applyAlignment="1">
      <alignment horizontal="left" wrapText="1"/>
    </xf>
    <xf numFmtId="0" fontId="4" fillId="0" borderId="5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13" borderId="47" xfId="0" applyFont="1" applyFill="1" applyBorder="1" applyAlignment="1">
      <alignment horizontal="center" vertical="center" wrapText="1"/>
    </xf>
    <xf numFmtId="0" fontId="4" fillId="13" borderId="33" xfId="0" applyFont="1" applyFill="1" applyBorder="1" applyAlignment="1">
      <alignment horizontal="center" vertical="center" wrapText="1"/>
    </xf>
    <xf numFmtId="0" fontId="4" fillId="13" borderId="39" xfId="0" applyFont="1" applyFill="1" applyBorder="1" applyAlignment="1">
      <alignment horizontal="center" vertical="center" wrapText="1"/>
    </xf>
    <xf numFmtId="0" fontId="4" fillId="13" borderId="20" xfId="0" applyFont="1" applyFill="1" applyBorder="1" applyAlignment="1">
      <alignment horizontal="center" vertical="center"/>
    </xf>
    <xf numFmtId="0" fontId="4" fillId="13" borderId="21" xfId="0" applyFont="1" applyFill="1" applyBorder="1" applyAlignment="1">
      <alignment horizontal="center" vertical="center"/>
    </xf>
    <xf numFmtId="0" fontId="4" fillId="13" borderId="22" xfId="0" applyFont="1" applyFill="1" applyBorder="1" applyAlignment="1">
      <alignment horizontal="center" vertical="center"/>
    </xf>
    <xf numFmtId="0" fontId="4" fillId="13" borderId="16" xfId="0" applyFont="1" applyFill="1" applyBorder="1" applyAlignment="1">
      <alignment horizontal="center" vertical="center"/>
    </xf>
    <xf numFmtId="0" fontId="4" fillId="13" borderId="14" xfId="0" applyFont="1" applyFill="1" applyBorder="1" applyAlignment="1">
      <alignment horizontal="center" vertical="center"/>
    </xf>
    <xf numFmtId="0" fontId="4" fillId="13" borderId="26" xfId="0" applyFont="1" applyFill="1" applyBorder="1" applyAlignment="1">
      <alignment horizontal="center" vertical="center"/>
    </xf>
    <xf numFmtId="0" fontId="4" fillId="13" borderId="27" xfId="0" applyFont="1" applyFill="1" applyBorder="1" applyAlignment="1">
      <alignment horizontal="center" vertical="center"/>
    </xf>
    <xf numFmtId="0" fontId="4" fillId="13" borderId="28" xfId="0" applyFont="1" applyFill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5" fillId="9" borderId="40" xfId="0" applyFont="1" applyFill="1" applyBorder="1" applyAlignment="1">
      <alignment horizontal="left"/>
    </xf>
    <xf numFmtId="0" fontId="11" fillId="0" borderId="15" xfId="137" applyBorder="1" applyAlignment="1">
      <alignment horizontal="left" wrapText="1"/>
    </xf>
    <xf numFmtId="0" fontId="11" fillId="0" borderId="16" xfId="137" applyBorder="1" applyAlignment="1">
      <alignment horizontal="left" wrapText="1"/>
    </xf>
    <xf numFmtId="0" fontId="5" fillId="9" borderId="7" xfId="0" applyFont="1" applyFill="1" applyBorder="1" applyAlignment="1">
      <alignment horizontal="left"/>
    </xf>
    <xf numFmtId="0" fontId="5" fillId="9" borderId="8" xfId="0" applyFont="1" applyFill="1" applyBorder="1" applyAlignment="1">
      <alignment horizontal="left"/>
    </xf>
    <xf numFmtId="0" fontId="5" fillId="9" borderId="9" xfId="0" applyFont="1" applyFill="1" applyBorder="1" applyAlignment="1">
      <alignment horizontal="left"/>
    </xf>
    <xf numFmtId="0" fontId="5" fillId="9" borderId="6" xfId="0" applyFont="1" applyFill="1" applyBorder="1" applyAlignment="1">
      <alignment horizontal="left"/>
    </xf>
    <xf numFmtId="0" fontId="4" fillId="0" borderId="11" xfId="0" applyFont="1" applyBorder="1"/>
    <xf numFmtId="0" fontId="4" fillId="0" borderId="12" xfId="0" applyFont="1" applyBorder="1"/>
    <xf numFmtId="0" fontId="7" fillId="13" borderId="26" xfId="0" applyFont="1" applyFill="1" applyBorder="1" applyAlignment="1">
      <alignment horizontal="center" vertical="center"/>
    </xf>
    <xf numFmtId="0" fontId="7" fillId="13" borderId="27" xfId="0" applyFont="1" applyFill="1" applyBorder="1" applyAlignment="1">
      <alignment horizontal="center" vertical="center"/>
    </xf>
    <xf numFmtId="0" fontId="7" fillId="13" borderId="28" xfId="0" applyFont="1" applyFill="1" applyBorder="1" applyAlignment="1">
      <alignment horizontal="center" vertical="center"/>
    </xf>
    <xf numFmtId="0" fontId="7" fillId="0" borderId="11" xfId="145" applyFont="1" applyBorder="1" applyAlignment="1">
      <alignment horizontal="left" wrapText="1"/>
    </xf>
    <xf numFmtId="0" fontId="7" fillId="0" borderId="12" xfId="145" applyFont="1" applyBorder="1" applyAlignment="1">
      <alignment horizontal="left" wrapText="1"/>
    </xf>
    <xf numFmtId="0" fontId="7" fillId="0" borderId="23" xfId="137" applyFont="1" applyBorder="1" applyAlignment="1">
      <alignment horizontal="left" wrapText="1"/>
    </xf>
    <xf numFmtId="0" fontId="7" fillId="0" borderId="57" xfId="137" applyFont="1" applyBorder="1" applyAlignment="1">
      <alignment horizontal="left" wrapText="1"/>
    </xf>
    <xf numFmtId="0" fontId="7" fillId="0" borderId="18" xfId="137" applyFont="1" applyBorder="1" applyAlignment="1">
      <alignment horizontal="left" wrapText="1"/>
    </xf>
    <xf numFmtId="0" fontId="7" fillId="0" borderId="7" xfId="137" applyFont="1" applyBorder="1" applyAlignment="1">
      <alignment horizontal="left" wrapText="1"/>
    </xf>
    <xf numFmtId="0" fontId="7" fillId="0" borderId="8" xfId="137" applyFont="1" applyBorder="1" applyAlignment="1">
      <alignment horizontal="left" wrapText="1"/>
    </xf>
    <xf numFmtId="0" fontId="7" fillId="0" borderId="82" xfId="137" applyFont="1" applyBorder="1" applyAlignment="1">
      <alignment horizontal="left" wrapText="1"/>
    </xf>
    <xf numFmtId="0" fontId="7" fillId="0" borderId="56" xfId="137" applyFont="1" applyBorder="1" applyAlignment="1">
      <alignment horizontal="left" wrapText="1"/>
    </xf>
    <xf numFmtId="0" fontId="7" fillId="0" borderId="30" xfId="137" applyFont="1" applyBorder="1" applyAlignment="1">
      <alignment horizontal="left" wrapText="1"/>
    </xf>
    <xf numFmtId="0" fontId="16" fillId="0" borderId="18" xfId="0" applyFont="1" applyBorder="1" applyAlignment="1">
      <alignment horizontal="left"/>
    </xf>
    <xf numFmtId="0" fontId="9" fillId="0" borderId="2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5" fillId="9" borderId="53" xfId="0" applyFont="1" applyFill="1" applyBorder="1" applyAlignment="1">
      <alignment horizontal="left"/>
    </xf>
    <xf numFmtId="0" fontId="15" fillId="9" borderId="54" xfId="0" applyFont="1" applyFill="1" applyBorder="1" applyAlignment="1">
      <alignment horizontal="left"/>
    </xf>
    <xf numFmtId="0" fontId="15" fillId="9" borderId="43" xfId="0" applyFont="1" applyFill="1" applyBorder="1" applyAlignment="1">
      <alignment horizontal="left"/>
    </xf>
    <xf numFmtId="0" fontId="15" fillId="9" borderId="44" xfId="0" applyFont="1" applyFill="1" applyBorder="1" applyAlignment="1">
      <alignment horizontal="left"/>
    </xf>
    <xf numFmtId="0" fontId="18" fillId="0" borderId="23" xfId="0" applyFont="1" applyBorder="1" applyAlignment="1">
      <alignment horizontal="right"/>
    </xf>
    <xf numFmtId="0" fontId="16" fillId="0" borderId="57" xfId="0" applyFont="1" applyBorder="1" applyAlignment="1">
      <alignment horizontal="right"/>
    </xf>
    <xf numFmtId="0" fontId="16" fillId="0" borderId="18" xfId="0" applyFont="1" applyBorder="1" applyAlignment="1">
      <alignment horizontal="right"/>
    </xf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4" fillId="13" borderId="34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63" xfId="0" applyFont="1" applyFill="1" applyBorder="1" applyAlignment="1">
      <alignment horizontal="center" vertical="center"/>
    </xf>
    <xf numFmtId="0" fontId="16" fillId="0" borderId="23" xfId="0" applyFont="1" applyBorder="1" applyAlignment="1">
      <alignment horizontal="left" wrapText="1"/>
    </xf>
    <xf numFmtId="0" fontId="16" fillId="0" borderId="57" xfId="0" applyFont="1" applyBorder="1" applyAlignment="1">
      <alignment horizontal="left" wrapText="1"/>
    </xf>
    <xf numFmtId="0" fontId="16" fillId="0" borderId="18" xfId="0" applyFont="1" applyBorder="1" applyAlignment="1">
      <alignment horizontal="left" wrapText="1"/>
    </xf>
    <xf numFmtId="0" fontId="87" fillId="0" borderId="82" xfId="0" applyFont="1" applyBorder="1" applyAlignment="1">
      <alignment horizontal="left" wrapText="1"/>
    </xf>
    <xf numFmtId="0" fontId="87" fillId="0" borderId="56" xfId="0" applyFont="1" applyBorder="1" applyAlignment="1">
      <alignment horizontal="left" wrapText="1"/>
    </xf>
    <xf numFmtId="0" fontId="87" fillId="0" borderId="30" xfId="0" applyFont="1" applyBorder="1" applyAlignment="1">
      <alignment horizontal="left" wrapText="1"/>
    </xf>
    <xf numFmtId="0" fontId="87" fillId="0" borderId="11" xfId="0" applyFont="1" applyBorder="1" applyAlignment="1">
      <alignment horizontal="left" wrapText="1"/>
    </xf>
    <xf numFmtId="0" fontId="87" fillId="0" borderId="12" xfId="0" applyFont="1" applyBorder="1" applyAlignment="1">
      <alignment horizontal="left" wrapText="1"/>
    </xf>
    <xf numFmtId="0" fontId="4" fillId="13" borderId="11" xfId="0" applyFont="1" applyFill="1" applyBorder="1" applyAlignment="1">
      <alignment horizontal="left" wrapText="1"/>
    </xf>
    <xf numFmtId="0" fontId="4" fillId="13" borderId="12" xfId="0" applyFont="1" applyFill="1" applyBorder="1" applyAlignment="1">
      <alignment horizontal="left" wrapText="1"/>
    </xf>
    <xf numFmtId="0" fontId="5" fillId="9" borderId="83" xfId="0" applyFont="1" applyFill="1" applyBorder="1" applyAlignment="1">
      <alignment horizontal="left"/>
    </xf>
    <xf numFmtId="0" fontId="5" fillId="9" borderId="93" xfId="0" applyFont="1" applyFill="1" applyBorder="1" applyAlignment="1">
      <alignment horizontal="left"/>
    </xf>
    <xf numFmtId="0" fontId="5" fillId="9" borderId="110" xfId="0" applyFont="1" applyFill="1" applyBorder="1" applyAlignment="1">
      <alignment horizontal="left"/>
    </xf>
    <xf numFmtId="0" fontId="7" fillId="0" borderId="11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4" fillId="13" borderId="76" xfId="0" applyFont="1" applyFill="1" applyBorder="1" applyAlignment="1">
      <alignment horizontal="center" vertical="center"/>
    </xf>
    <xf numFmtId="0" fontId="4" fillId="13" borderId="40" xfId="0" applyFont="1" applyFill="1" applyBorder="1" applyAlignment="1">
      <alignment horizontal="center" vertical="center"/>
    </xf>
    <xf numFmtId="0" fontId="4" fillId="13" borderId="41" xfId="0" applyFont="1" applyFill="1" applyBorder="1" applyAlignment="1">
      <alignment horizontal="center" vertical="center"/>
    </xf>
    <xf numFmtId="0" fontId="4" fillId="13" borderId="77" xfId="0" applyFont="1" applyFill="1" applyBorder="1" applyAlignment="1">
      <alignment horizontal="center" vertical="center"/>
    </xf>
    <xf numFmtId="0" fontId="7" fillId="13" borderId="77" xfId="0" applyFont="1" applyFill="1" applyBorder="1" applyAlignment="1">
      <alignment horizontal="center" vertical="center"/>
    </xf>
    <xf numFmtId="0" fontId="4" fillId="13" borderId="46" xfId="0" applyFont="1" applyFill="1" applyBorder="1" applyAlignment="1">
      <alignment horizontal="center" vertical="center"/>
    </xf>
    <xf numFmtId="0" fontId="4" fillId="13" borderId="31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5" fillId="9" borderId="23" xfId="0" applyFont="1" applyFill="1" applyBorder="1" applyAlignment="1">
      <alignment horizontal="left"/>
    </xf>
    <xf numFmtId="0" fontId="5" fillId="9" borderId="57" xfId="0" applyFont="1" applyFill="1" applyBorder="1" applyAlignment="1">
      <alignment horizontal="left"/>
    </xf>
    <xf numFmtId="0" fontId="5" fillId="9" borderId="60" xfId="0" applyFont="1" applyFill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7" fillId="0" borderId="23" xfId="145" applyFont="1" applyBorder="1" applyAlignment="1">
      <alignment horizontal="left" vertical="center" wrapText="1"/>
    </xf>
    <xf numFmtId="0" fontId="7" fillId="0" borderId="57" xfId="145" applyFont="1" applyBorder="1" applyAlignment="1">
      <alignment horizontal="left" vertical="center" wrapText="1"/>
    </xf>
    <xf numFmtId="0" fontId="7" fillId="0" borderId="18" xfId="145" applyFont="1" applyBorder="1" applyAlignment="1">
      <alignment horizontal="left" vertical="center" wrapText="1"/>
    </xf>
    <xf numFmtId="0" fontId="7" fillId="0" borderId="23" xfId="145" applyFont="1" applyBorder="1" applyAlignment="1">
      <alignment vertical="center" wrapText="1"/>
    </xf>
    <xf numFmtId="0" fontId="7" fillId="0" borderId="57" xfId="145" applyFont="1" applyBorder="1" applyAlignment="1">
      <alignment vertical="center" wrapText="1"/>
    </xf>
    <xf numFmtId="0" fontId="7" fillId="0" borderId="18" xfId="145" applyFont="1" applyBorder="1" applyAlignment="1">
      <alignment vertical="center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7" fillId="0" borderId="23" xfId="145" applyFont="1" applyBorder="1" applyAlignment="1">
      <alignment horizontal="left" wrapText="1"/>
    </xf>
    <xf numFmtId="0" fontId="7" fillId="0" borderId="57" xfId="145" applyFont="1" applyBorder="1" applyAlignment="1">
      <alignment horizontal="left" wrapText="1"/>
    </xf>
    <xf numFmtId="0" fontId="7" fillId="0" borderId="18" xfId="145" applyFont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0" fontId="9" fillId="0" borderId="57" xfId="0" applyFont="1" applyBorder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11" fillId="0" borderId="23" xfId="145" applyBorder="1" applyAlignment="1">
      <alignment horizontal="left" wrapText="1"/>
    </xf>
    <xf numFmtId="0" fontId="11" fillId="0" borderId="57" xfId="145" applyBorder="1" applyAlignment="1">
      <alignment horizontal="left" wrapText="1"/>
    </xf>
    <xf numFmtId="0" fontId="11" fillId="0" borderId="18" xfId="145" applyBorder="1" applyAlignment="1">
      <alignment horizontal="left" wrapText="1"/>
    </xf>
    <xf numFmtId="0" fontId="2" fillId="9" borderId="23" xfId="0" applyFont="1" applyFill="1" applyBorder="1" applyAlignment="1">
      <alignment horizontal="left"/>
    </xf>
    <xf numFmtId="0" fontId="2" fillId="9" borderId="57" xfId="0" applyFont="1" applyFill="1" applyBorder="1" applyAlignment="1">
      <alignment horizontal="left"/>
    </xf>
    <xf numFmtId="0" fontId="2" fillId="9" borderId="60" xfId="0" applyFont="1" applyFill="1" applyBorder="1" applyAlignment="1">
      <alignment horizontal="left"/>
    </xf>
    <xf numFmtId="0" fontId="50" fillId="9" borderId="23" xfId="145" applyFont="1" applyFill="1" applyBorder="1" applyAlignment="1">
      <alignment horizontal="left" wrapText="1"/>
    </xf>
    <xf numFmtId="0" fontId="50" fillId="9" borderId="57" xfId="145" applyFont="1" applyFill="1" applyBorder="1" applyAlignment="1">
      <alignment horizontal="left" wrapText="1"/>
    </xf>
    <xf numFmtId="0" fontId="50" fillId="9" borderId="18" xfId="145" applyFont="1" applyFill="1" applyBorder="1" applyAlignment="1">
      <alignment horizontal="left" wrapText="1"/>
    </xf>
    <xf numFmtId="0" fontId="16" fillId="11" borderId="23" xfId="0" applyFont="1" applyFill="1" applyBorder="1" applyAlignment="1">
      <alignment horizontal="left"/>
    </xf>
    <xf numFmtId="0" fontId="16" fillId="11" borderId="57" xfId="0" applyFont="1" applyFill="1" applyBorder="1" applyAlignment="1">
      <alignment horizontal="left"/>
    </xf>
    <xf numFmtId="0" fontId="16" fillId="11" borderId="18" xfId="0" applyFont="1" applyFill="1" applyBorder="1" applyAlignment="1">
      <alignment horizontal="left"/>
    </xf>
    <xf numFmtId="0" fontId="4" fillId="0" borderId="82" xfId="0" applyFont="1" applyBorder="1" applyAlignment="1">
      <alignment wrapText="1"/>
    </xf>
    <xf numFmtId="0" fontId="4" fillId="0" borderId="56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50" fillId="9" borderId="23" xfId="145" applyFont="1" applyFill="1" applyBorder="1" applyAlignment="1">
      <alignment horizontal="left"/>
    </xf>
    <xf numFmtId="0" fontId="50" fillId="9" borderId="57" xfId="145" applyFont="1" applyFill="1" applyBorder="1" applyAlignment="1">
      <alignment horizontal="left"/>
    </xf>
    <xf numFmtId="0" fontId="50" fillId="9" borderId="18" xfId="145" applyFont="1" applyFill="1" applyBorder="1" applyAlignment="1">
      <alignment horizontal="left"/>
    </xf>
    <xf numFmtId="0" fontId="4" fillId="9" borderId="47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9" borderId="92" xfId="0" applyFont="1" applyFill="1" applyBorder="1" applyAlignment="1">
      <alignment horizontal="center" vertical="center" wrapText="1"/>
    </xf>
    <xf numFmtId="0" fontId="4" fillId="9" borderId="43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79" xfId="0" applyFont="1" applyFill="1" applyBorder="1" applyAlignment="1">
      <alignment horizontal="center" vertical="center" wrapText="1"/>
    </xf>
    <xf numFmtId="0" fontId="4" fillId="9" borderId="58" xfId="0" applyFont="1" applyFill="1" applyBorder="1" applyAlignment="1">
      <alignment horizontal="center" vertical="center" wrapText="1"/>
    </xf>
    <xf numFmtId="0" fontId="4" fillId="9" borderId="59" xfId="0" applyFont="1" applyFill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10" borderId="38" xfId="0" applyFont="1" applyFill="1" applyBorder="1" applyAlignment="1">
      <alignment horizontal="center" vertical="center" wrapText="1"/>
    </xf>
    <xf numFmtId="0" fontId="7" fillId="13" borderId="28" xfId="0" applyFont="1" applyFill="1" applyBorder="1" applyAlignment="1">
      <alignment horizontal="center" vertical="center" wrapText="1"/>
    </xf>
    <xf numFmtId="1" fontId="16" fillId="10" borderId="12" xfId="0" applyNumberFormat="1" applyFont="1" applyFill="1" applyBorder="1" applyAlignment="1">
      <alignment horizontal="center" vertical="center"/>
    </xf>
    <xf numFmtId="0" fontId="53" fillId="10" borderId="12" xfId="0" applyFont="1" applyFill="1" applyBorder="1" applyAlignment="1">
      <alignment horizontal="center" vertical="center"/>
    </xf>
    <xf numFmtId="0" fontId="7" fillId="10" borderId="26" xfId="0" applyFont="1" applyFill="1" applyBorder="1" applyAlignment="1">
      <alignment horizontal="center" vertical="center" wrapText="1"/>
    </xf>
    <xf numFmtId="0" fontId="7" fillId="10" borderId="27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7" fillId="13" borderId="15" xfId="0" applyFont="1" applyFill="1" applyBorder="1" applyAlignment="1">
      <alignment horizontal="center" vertical="center" wrapText="1"/>
    </xf>
    <xf numFmtId="0" fontId="7" fillId="13" borderId="14" xfId="0" applyFont="1" applyFill="1" applyBorder="1" applyAlignment="1">
      <alignment horizontal="center" vertical="center" wrapText="1"/>
    </xf>
    <xf numFmtId="0" fontId="7" fillId="10" borderId="46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13" borderId="15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1" fontId="78" fillId="0" borderId="12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center" vertical="center"/>
    </xf>
    <xf numFmtId="1" fontId="16" fillId="0" borderId="1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6" fillId="0" borderId="62" xfId="0" applyNumberFormat="1" applyFont="1" applyBorder="1" applyAlignment="1">
      <alignment horizontal="center" vertical="center"/>
    </xf>
    <xf numFmtId="49" fontId="53" fillId="13" borderId="62" xfId="0" applyNumberFormat="1" applyFont="1" applyFill="1" applyBorder="1" applyAlignment="1">
      <alignment horizontal="center"/>
    </xf>
    <xf numFmtId="0" fontId="78" fillId="0" borderId="12" xfId="0" applyFont="1" applyBorder="1" applyAlignment="1">
      <alignment horizontal="center"/>
    </xf>
    <xf numFmtId="0" fontId="53" fillId="10" borderId="12" xfId="0" applyFont="1" applyFill="1" applyBorder="1" applyAlignment="1">
      <alignment horizontal="center"/>
    </xf>
    <xf numFmtId="0" fontId="82" fillId="0" borderId="95" xfId="0" applyFont="1" applyBorder="1" applyAlignment="1">
      <alignment horizontal="center" vertical="center" wrapText="1"/>
    </xf>
    <xf numFmtId="0" fontId="82" fillId="0" borderId="101" xfId="0" applyFont="1" applyBorder="1" applyAlignment="1">
      <alignment horizontal="center" vertical="center" wrapText="1"/>
    </xf>
    <xf numFmtId="0" fontId="82" fillId="0" borderId="102" xfId="0" applyFont="1" applyBorder="1" applyAlignment="1">
      <alignment horizontal="center" vertical="center" wrapText="1"/>
    </xf>
    <xf numFmtId="0" fontId="82" fillId="0" borderId="103" xfId="0" applyFont="1" applyBorder="1" applyAlignment="1">
      <alignment horizontal="center" vertical="center" wrapText="1"/>
    </xf>
    <xf numFmtId="0" fontId="82" fillId="0" borderId="100" xfId="0" applyFont="1" applyBorder="1" applyAlignment="1">
      <alignment horizontal="center" vertical="center" wrapText="1"/>
    </xf>
    <xf numFmtId="0" fontId="82" fillId="0" borderId="98" xfId="0" applyFont="1" applyBorder="1" applyAlignment="1">
      <alignment horizontal="center" vertical="center" wrapText="1"/>
    </xf>
    <xf numFmtId="0" fontId="82" fillId="0" borderId="104" xfId="0" applyFont="1" applyBorder="1" applyAlignment="1">
      <alignment horizontal="center" vertical="center" wrapText="1"/>
    </xf>
    <xf numFmtId="0" fontId="82" fillId="0" borderId="105" xfId="0" applyFont="1" applyBorder="1" applyAlignment="1">
      <alignment horizontal="center" vertical="center" wrapText="1"/>
    </xf>
    <xf numFmtId="0" fontId="82" fillId="0" borderId="106" xfId="0" applyFont="1" applyBorder="1" applyAlignment="1">
      <alignment horizontal="center" vertical="center" wrapText="1"/>
    </xf>
    <xf numFmtId="0" fontId="82" fillId="0" borderId="107" xfId="0" applyFont="1" applyBorder="1" applyAlignment="1">
      <alignment horizontal="justify" vertical="center" wrapText="1"/>
    </xf>
    <xf numFmtId="0" fontId="82" fillId="0" borderId="108" xfId="0" applyFont="1" applyBorder="1" applyAlignment="1">
      <alignment horizontal="justify" vertical="center" wrapText="1"/>
    </xf>
    <xf numFmtId="0" fontId="82" fillId="0" borderId="109" xfId="0" applyFont="1" applyBorder="1" applyAlignment="1">
      <alignment horizontal="justify" vertical="center" wrapText="1"/>
    </xf>
    <xf numFmtId="0" fontId="82" fillId="0" borderId="103" xfId="0" applyFont="1" applyBorder="1" applyAlignment="1">
      <alignment horizontal="justify" vertical="center" wrapText="1"/>
    </xf>
    <xf numFmtId="0" fontId="82" fillId="0" borderId="100" xfId="0" applyFont="1" applyBorder="1" applyAlignment="1">
      <alignment horizontal="justify" vertical="center" wrapText="1"/>
    </xf>
    <xf numFmtId="0" fontId="82" fillId="0" borderId="98" xfId="0" applyFont="1" applyBorder="1" applyAlignment="1">
      <alignment horizontal="justify" vertical="center" wrapText="1"/>
    </xf>
    <xf numFmtId="0" fontId="85" fillId="0" borderId="103" xfId="0" applyFont="1" applyBorder="1" applyAlignment="1">
      <alignment horizontal="center" vertical="center" wrapText="1"/>
    </xf>
    <xf numFmtId="0" fontId="85" fillId="0" borderId="100" xfId="0" applyFont="1" applyBorder="1" applyAlignment="1">
      <alignment horizontal="center" vertical="center" wrapText="1"/>
    </xf>
    <xf numFmtId="0" fontId="85" fillId="0" borderId="98" xfId="0" applyFont="1" applyBorder="1" applyAlignment="1">
      <alignment horizontal="center" vertical="center" wrapText="1"/>
    </xf>
    <xf numFmtId="0" fontId="86" fillId="0" borderId="103" xfId="0" applyFont="1" applyBorder="1" applyAlignment="1">
      <alignment horizontal="center" vertical="center" wrapText="1"/>
    </xf>
    <xf numFmtId="0" fontId="86" fillId="0" borderId="98" xfId="0" applyFont="1" applyBorder="1" applyAlignment="1">
      <alignment horizontal="center" vertical="center" wrapText="1"/>
    </xf>
    <xf numFmtId="0" fontId="4" fillId="13" borderId="24" xfId="0" applyFont="1" applyFill="1" applyBorder="1" applyAlignment="1">
      <alignment horizontal="center" vertical="center"/>
    </xf>
    <xf numFmtId="0" fontId="4" fillId="13" borderId="25" xfId="0" applyFont="1" applyFill="1" applyBorder="1" applyAlignment="1">
      <alignment horizontal="center" vertical="center"/>
    </xf>
    <xf numFmtId="0" fontId="4" fillId="13" borderId="5" xfId="0" applyFont="1" applyFill="1" applyBorder="1" applyAlignment="1">
      <alignment horizontal="center" vertical="center"/>
    </xf>
    <xf numFmtId="0" fontId="4" fillId="13" borderId="26" xfId="0" applyFont="1" applyFill="1" applyBorder="1" applyAlignment="1">
      <alignment horizontal="center" vertical="center" wrapText="1"/>
    </xf>
    <xf numFmtId="0" fontId="4" fillId="13" borderId="27" xfId="0" applyFont="1" applyFill="1" applyBorder="1" applyAlignment="1">
      <alignment horizontal="center" vertical="center" wrapText="1"/>
    </xf>
    <xf numFmtId="0" fontId="4" fillId="13" borderId="28" xfId="0" applyFont="1" applyFill="1" applyBorder="1" applyAlignment="1">
      <alignment horizontal="center" vertical="center" wrapText="1"/>
    </xf>
    <xf numFmtId="0" fontId="7" fillId="10" borderId="24" xfId="0" applyFont="1" applyFill="1" applyBorder="1" applyAlignment="1">
      <alignment horizontal="center" vertical="center"/>
    </xf>
    <xf numFmtId="0" fontId="7" fillId="13" borderId="25" xfId="0" applyFont="1" applyFill="1" applyBorder="1" applyAlignment="1">
      <alignment horizontal="center" vertical="center"/>
    </xf>
    <xf numFmtId="0" fontId="7" fillId="10" borderId="29" xfId="0" applyFont="1" applyFill="1" applyBorder="1" applyAlignment="1">
      <alignment horizontal="center" vertical="center"/>
    </xf>
    <xf numFmtId="0" fontId="4" fillId="13" borderId="92" xfId="0" applyFont="1" applyFill="1" applyBorder="1" applyAlignment="1">
      <alignment horizontal="center" vertical="center" wrapText="1"/>
    </xf>
    <xf numFmtId="0" fontId="4" fillId="13" borderId="79" xfId="0" applyFont="1" applyFill="1" applyBorder="1" applyAlignment="1">
      <alignment horizontal="center" vertical="center" wrapText="1"/>
    </xf>
    <xf numFmtId="0" fontId="7" fillId="13" borderId="47" xfId="0" applyFont="1" applyFill="1" applyBorder="1" applyAlignment="1">
      <alignment horizontal="center" vertical="center" wrapText="1"/>
    </xf>
    <xf numFmtId="0" fontId="7" fillId="13" borderId="39" xfId="0" applyFont="1" applyFill="1" applyBorder="1" applyAlignment="1">
      <alignment horizontal="center" vertical="center" wrapText="1"/>
    </xf>
    <xf numFmtId="1" fontId="50" fillId="15" borderId="40" xfId="0" applyNumberFormat="1" applyFont="1" applyFill="1" applyBorder="1" applyAlignment="1">
      <alignment horizontal="center"/>
    </xf>
    <xf numFmtId="1" fontId="17" fillId="13" borderId="82" xfId="0" applyNumberFormat="1" applyFont="1" applyFill="1" applyBorder="1" applyAlignment="1">
      <alignment horizontal="center" vertical="center"/>
    </xf>
    <xf numFmtId="1" fontId="17" fillId="13" borderId="30" xfId="0" applyNumberFormat="1" applyFont="1" applyFill="1" applyBorder="1" applyAlignment="1">
      <alignment horizontal="center" vertical="center"/>
    </xf>
    <xf numFmtId="0" fontId="50" fillId="15" borderId="46" xfId="0" applyFont="1" applyFill="1" applyBorder="1" applyAlignment="1">
      <alignment horizontal="center"/>
    </xf>
    <xf numFmtId="0" fontId="50" fillId="15" borderId="31" xfId="0" applyFont="1" applyFill="1" applyBorder="1" applyAlignment="1">
      <alignment horizontal="center"/>
    </xf>
    <xf numFmtId="1" fontId="50" fillId="15" borderId="12" xfId="0" applyNumberFormat="1" applyFont="1" applyFill="1" applyBorder="1" applyAlignment="1">
      <alignment horizontal="center"/>
    </xf>
    <xf numFmtId="0" fontId="50" fillId="15" borderId="12" xfId="0" applyFont="1" applyFill="1" applyBorder="1" applyAlignment="1">
      <alignment horizontal="center"/>
    </xf>
    <xf numFmtId="1" fontId="50" fillId="15" borderId="8" xfId="0" applyNumberFormat="1" applyFont="1" applyFill="1" applyBorder="1" applyAlignment="1">
      <alignment horizontal="center"/>
    </xf>
    <xf numFmtId="1" fontId="50" fillId="11" borderId="21" xfId="0" applyNumberFormat="1" applyFont="1" applyFill="1" applyBorder="1" applyAlignment="1">
      <alignment horizontal="center"/>
    </xf>
    <xf numFmtId="0" fontId="50" fillId="18" borderId="12" xfId="0" applyFont="1" applyFill="1" applyBorder="1" applyAlignment="1">
      <alignment horizontal="center"/>
    </xf>
    <xf numFmtId="1" fontId="50" fillId="15" borderId="16" xfId="0" applyNumberFormat="1" applyFont="1" applyFill="1" applyBorder="1" applyAlignment="1">
      <alignment horizontal="center"/>
    </xf>
    <xf numFmtId="0" fontId="17" fillId="13" borderId="83" xfId="0" applyFont="1" applyFill="1" applyBorder="1" applyAlignment="1">
      <alignment horizontal="center" vertical="center"/>
    </xf>
    <xf numFmtId="0" fontId="17" fillId="13" borderId="65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50" fillId="15" borderId="40" xfId="0" applyFont="1" applyFill="1" applyBorder="1" applyAlignment="1">
      <alignment horizontal="center"/>
    </xf>
    <xf numFmtId="1" fontId="80" fillId="0" borderId="46" xfId="0" applyNumberFormat="1" applyFont="1" applyBorder="1" applyAlignment="1">
      <alignment horizontal="center"/>
    </xf>
    <xf numFmtId="1" fontId="80" fillId="0" borderId="19" xfId="0" applyNumberFormat="1" applyFont="1" applyBorder="1" applyAlignment="1">
      <alignment horizontal="center"/>
    </xf>
    <xf numFmtId="0" fontId="50" fillId="15" borderId="16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0" fillId="15" borderId="92" xfId="0" applyFont="1" applyFill="1" applyBorder="1" applyAlignment="1">
      <alignment horizontal="center"/>
    </xf>
    <xf numFmtId="0" fontId="50" fillId="15" borderId="44" xfId="0" applyFont="1" applyFill="1" applyBorder="1" applyAlignment="1">
      <alignment horizontal="center"/>
    </xf>
    <xf numFmtId="1" fontId="50" fillId="15" borderId="21" xfId="0" applyNumberFormat="1" applyFont="1" applyFill="1" applyBorder="1" applyAlignment="1">
      <alignment horizontal="center"/>
    </xf>
    <xf numFmtId="0" fontId="17" fillId="13" borderId="53" xfId="0" applyFont="1" applyFill="1" applyBorder="1" applyAlignment="1">
      <alignment horizontal="center" vertical="center"/>
    </xf>
    <xf numFmtId="0" fontId="17" fillId="13" borderId="42" xfId="0" applyFont="1" applyFill="1" applyBorder="1" applyAlignment="1">
      <alignment horizontal="center" vertical="center"/>
    </xf>
    <xf numFmtId="1" fontId="50" fillId="18" borderId="21" xfId="0" applyNumberFormat="1" applyFont="1" applyFill="1" applyBorder="1" applyAlignment="1">
      <alignment horizontal="center"/>
    </xf>
    <xf numFmtId="0" fontId="50" fillId="0" borderId="53" xfId="0" applyFont="1" applyBorder="1" applyAlignment="1">
      <alignment horizontal="center" vertical="center" wrapText="1"/>
    </xf>
    <xf numFmtId="0" fontId="50" fillId="0" borderId="42" xfId="0" applyFont="1" applyBorder="1" applyAlignment="1">
      <alignment horizontal="center" vertical="center" wrapText="1"/>
    </xf>
    <xf numFmtId="1" fontId="50" fillId="0" borderId="82" xfId="0" applyNumberFormat="1" applyFont="1" applyBorder="1" applyAlignment="1">
      <alignment horizontal="center" vertical="center" wrapText="1"/>
    </xf>
    <xf numFmtId="1" fontId="50" fillId="0" borderId="30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0" fillId="18" borderId="40" xfId="0" applyFont="1" applyFill="1" applyBorder="1" applyAlignment="1">
      <alignment horizontal="center"/>
    </xf>
    <xf numFmtId="0" fontId="4" fillId="0" borderId="92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9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0" fillId="11" borderId="46" xfId="0" applyFont="1" applyFill="1" applyBorder="1" applyAlignment="1">
      <alignment horizontal="center"/>
    </xf>
    <xf numFmtId="0" fontId="50" fillId="11" borderId="31" xfId="0" applyFont="1" applyFill="1" applyBorder="1" applyAlignment="1">
      <alignment horizontal="center"/>
    </xf>
    <xf numFmtId="0" fontId="7" fillId="13" borderId="47" xfId="0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/>
    </xf>
    <xf numFmtId="0" fontId="7" fillId="13" borderId="26" xfId="0" applyFont="1" applyFill="1" applyBorder="1" applyAlignment="1">
      <alignment horizontal="center" vertical="center" wrapText="1"/>
    </xf>
    <xf numFmtId="0" fontId="7" fillId="13" borderId="93" xfId="0" applyFont="1" applyFill="1" applyBorder="1" applyAlignment="1">
      <alignment horizontal="center" vertical="center" wrapText="1"/>
    </xf>
    <xf numFmtId="0" fontId="7" fillId="13" borderId="68" xfId="0" applyFont="1" applyFill="1" applyBorder="1" applyAlignment="1">
      <alignment horizontal="center" vertical="center" wrapText="1"/>
    </xf>
    <xf numFmtId="0" fontId="7" fillId="13" borderId="92" xfId="0" applyFont="1" applyFill="1" applyBorder="1" applyAlignment="1">
      <alignment horizontal="center" vertical="center" wrapText="1"/>
    </xf>
    <xf numFmtId="0" fontId="7" fillId="13" borderId="43" xfId="0" applyFont="1" applyFill="1" applyBorder="1" applyAlignment="1">
      <alignment horizontal="center" vertical="center" wrapText="1"/>
    </xf>
    <xf numFmtId="0" fontId="7" fillId="13" borderId="44" xfId="0" applyFont="1" applyFill="1" applyBorder="1" applyAlignment="1">
      <alignment horizontal="center" vertical="center" wrapText="1"/>
    </xf>
    <xf numFmtId="0" fontId="7" fillId="13" borderId="34" xfId="0" applyFont="1" applyFill="1" applyBorder="1" applyAlignment="1">
      <alignment horizontal="center" vertical="center" wrapText="1"/>
    </xf>
    <xf numFmtId="0" fontId="7" fillId="13" borderId="0" xfId="0" applyFont="1" applyFill="1" applyAlignment="1">
      <alignment horizontal="center" vertical="center" wrapText="1"/>
    </xf>
    <xf numFmtId="0" fontId="7" fillId="13" borderId="63" xfId="0" applyFont="1" applyFill="1" applyBorder="1" applyAlignment="1">
      <alignment horizontal="center" vertical="center" wrapText="1"/>
    </xf>
    <xf numFmtId="0" fontId="7" fillId="13" borderId="46" xfId="0" applyFont="1" applyFill="1" applyBorder="1" applyAlignment="1">
      <alignment horizontal="center" vertical="center"/>
    </xf>
    <xf numFmtId="0" fontId="7" fillId="13" borderId="19" xfId="0" applyFont="1" applyFill="1" applyBorder="1" applyAlignment="1">
      <alignment horizontal="center" vertical="center"/>
    </xf>
    <xf numFmtId="0" fontId="7" fillId="13" borderId="46" xfId="0" applyFont="1" applyFill="1" applyBorder="1" applyAlignment="1">
      <alignment horizontal="center" vertical="center" wrapText="1"/>
    </xf>
    <xf numFmtId="0" fontId="7" fillId="13" borderId="19" xfId="0" applyFont="1" applyFill="1" applyBorder="1" applyAlignment="1">
      <alignment horizontal="center" vertical="center" wrapText="1"/>
    </xf>
    <xf numFmtId="0" fontId="7" fillId="13" borderId="31" xfId="0" applyFont="1" applyFill="1" applyBorder="1" applyAlignment="1">
      <alignment horizontal="center" vertical="center" wrapText="1"/>
    </xf>
    <xf numFmtId="0" fontId="5" fillId="13" borderId="0" xfId="0" applyFont="1" applyFill="1" applyAlignment="1">
      <alignment horizontal="left"/>
    </xf>
    <xf numFmtId="0" fontId="7" fillId="13" borderId="33" xfId="0" applyFont="1" applyFill="1" applyBorder="1" applyAlignment="1">
      <alignment horizontal="center" vertical="center" wrapText="1"/>
    </xf>
    <xf numFmtId="0" fontId="7" fillId="13" borderId="24" xfId="0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 vertical="center"/>
    </xf>
    <xf numFmtId="0" fontId="7" fillId="13" borderId="20" xfId="0" applyFont="1" applyFill="1" applyBorder="1" applyAlignment="1">
      <alignment horizontal="center" vertical="center" wrapText="1"/>
    </xf>
    <xf numFmtId="0" fontId="7" fillId="13" borderId="22" xfId="0" applyFont="1" applyFill="1" applyBorder="1" applyAlignment="1">
      <alignment horizontal="center" vertical="center" wrapText="1"/>
    </xf>
    <xf numFmtId="0" fontId="7" fillId="13" borderId="30" xfId="0" applyFont="1" applyFill="1" applyBorder="1" applyAlignment="1">
      <alignment horizontal="center" vertical="center" wrapText="1"/>
    </xf>
    <xf numFmtId="0" fontId="5" fillId="13" borderId="46" xfId="0" applyFont="1" applyFill="1" applyBorder="1" applyAlignment="1">
      <alignment horizontal="center" vertical="center"/>
    </xf>
    <xf numFmtId="0" fontId="5" fillId="13" borderId="51" xfId="0" applyFont="1" applyFill="1" applyBorder="1" applyAlignment="1">
      <alignment horizontal="center" vertical="center"/>
    </xf>
    <xf numFmtId="0" fontId="9" fillId="13" borderId="25" xfId="0" applyFont="1" applyFill="1" applyBorder="1" applyAlignment="1">
      <alignment horizontal="center" vertical="center"/>
    </xf>
    <xf numFmtId="0" fontId="7" fillId="13" borderId="11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79" xfId="0" applyFont="1" applyFill="1" applyBorder="1" applyAlignment="1">
      <alignment horizontal="center" vertical="center" wrapText="1"/>
    </xf>
    <xf numFmtId="0" fontId="9" fillId="13" borderId="29" xfId="0" applyFont="1" applyFill="1" applyBorder="1" applyAlignment="1">
      <alignment horizontal="center" vertical="center"/>
    </xf>
    <xf numFmtId="0" fontId="9" fillId="13" borderId="51" xfId="0" applyFont="1" applyFill="1" applyBorder="1" applyAlignment="1">
      <alignment horizontal="center" vertical="center"/>
    </xf>
    <xf numFmtId="0" fontId="10" fillId="13" borderId="25" xfId="0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horizontal="center" vertical="center" wrapText="1"/>
    </xf>
    <xf numFmtId="0" fontId="7" fillId="13" borderId="37" xfId="0" applyFont="1" applyFill="1" applyBorder="1" applyAlignment="1">
      <alignment horizontal="center" vertical="center"/>
    </xf>
    <xf numFmtId="0" fontId="7" fillId="13" borderId="42" xfId="0" applyFont="1" applyFill="1" applyBorder="1" applyAlignment="1">
      <alignment horizontal="center" vertical="center"/>
    </xf>
    <xf numFmtId="0" fontId="7" fillId="13" borderId="21" xfId="0" applyFont="1" applyFill="1" applyBorder="1" applyAlignment="1">
      <alignment horizontal="center" vertical="center" wrapText="1"/>
    </xf>
    <xf numFmtId="0" fontId="4" fillId="13" borderId="17" xfId="0" applyFont="1" applyFill="1" applyBorder="1" applyAlignment="1">
      <alignment horizontal="center" vertical="center"/>
    </xf>
    <xf numFmtId="0" fontId="4" fillId="13" borderId="30" xfId="0" applyFont="1" applyFill="1" applyBorder="1" applyAlignment="1">
      <alignment horizontal="center" vertical="center"/>
    </xf>
    <xf numFmtId="0" fontId="7" fillId="13" borderId="16" xfId="0" applyFont="1" applyFill="1" applyBorder="1" applyAlignment="1">
      <alignment horizontal="center" vertical="center" wrapText="1"/>
    </xf>
    <xf numFmtId="0" fontId="4" fillId="13" borderId="19" xfId="0" applyFont="1" applyFill="1" applyBorder="1" applyAlignment="1">
      <alignment horizontal="center" vertical="center"/>
    </xf>
    <xf numFmtId="0" fontId="50" fillId="14" borderId="13" xfId="0" applyFont="1" applyFill="1" applyBorder="1" applyAlignment="1">
      <alignment horizontal="center" vertical="center"/>
    </xf>
    <xf numFmtId="0" fontId="50" fillId="14" borderId="57" xfId="0" applyFont="1" applyFill="1" applyBorder="1" applyAlignment="1">
      <alignment horizontal="center" vertical="center"/>
    </xf>
    <xf numFmtId="0" fontId="50" fillId="14" borderId="18" xfId="0" applyFont="1" applyFill="1" applyBorder="1" applyAlignment="1">
      <alignment horizontal="center" vertical="center"/>
    </xf>
    <xf numFmtId="0" fontId="7" fillId="13" borderId="27" xfId="0" applyFont="1" applyFill="1" applyBorder="1" applyAlignment="1">
      <alignment horizontal="center" vertical="center" wrapText="1"/>
    </xf>
    <xf numFmtId="0" fontId="7" fillId="13" borderId="26" xfId="0" applyFont="1" applyFill="1" applyBorder="1" applyAlignment="1">
      <alignment horizontal="center" vertical="top"/>
    </xf>
    <xf numFmtId="0" fontId="7" fillId="13" borderId="28" xfId="0" applyFont="1" applyFill="1" applyBorder="1" applyAlignment="1">
      <alignment horizontal="center" vertical="top"/>
    </xf>
    <xf numFmtId="0" fontId="7" fillId="13" borderId="24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 wrapText="1"/>
    </xf>
    <xf numFmtId="0" fontId="7" fillId="13" borderId="26" xfId="0" applyFont="1" applyFill="1" applyBorder="1" applyAlignment="1">
      <alignment horizontal="center" vertical="top" wrapText="1"/>
    </xf>
    <xf numFmtId="0" fontId="7" fillId="13" borderId="28" xfId="0" applyFont="1" applyFill="1" applyBorder="1" applyAlignment="1">
      <alignment horizontal="center" vertical="top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0" fillId="0" borderId="69" xfId="0" applyFont="1" applyBorder="1" applyAlignment="1">
      <alignment horizontal="center" vertical="center"/>
    </xf>
    <xf numFmtId="0" fontId="0" fillId="0" borderId="8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90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0" fillId="0" borderId="8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9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13" borderId="20" xfId="0" applyFont="1" applyFill="1" applyBorder="1" applyAlignment="1">
      <alignment horizontal="center" vertical="center" wrapText="1"/>
    </xf>
    <xf numFmtId="0" fontId="4" fillId="13" borderId="22" xfId="0" applyFont="1" applyFill="1" applyBorder="1" applyAlignment="1">
      <alignment horizontal="center" vertical="center" wrapText="1"/>
    </xf>
    <xf numFmtId="0" fontId="4" fillId="13" borderId="11" xfId="0" applyFont="1" applyFill="1" applyBorder="1" applyAlignment="1">
      <alignment horizontal="center" vertical="center" wrapText="1"/>
    </xf>
    <xf numFmtId="0" fontId="4" fillId="13" borderId="10" xfId="0" applyFont="1" applyFill="1" applyBorder="1" applyAlignment="1">
      <alignment horizontal="center" vertical="center" wrapText="1"/>
    </xf>
    <xf numFmtId="0" fontId="4" fillId="13" borderId="15" xfId="0" applyFont="1" applyFill="1" applyBorder="1" applyAlignment="1">
      <alignment horizontal="center" vertical="center" wrapText="1"/>
    </xf>
    <xf numFmtId="0" fontId="4" fillId="13" borderId="14" xfId="0" applyFont="1" applyFill="1" applyBorder="1" applyAlignment="1">
      <alignment horizontal="center" vertical="center" wrapText="1"/>
    </xf>
    <xf numFmtId="0" fontId="4" fillId="13" borderId="47" xfId="0" applyFont="1" applyFill="1" applyBorder="1" applyAlignment="1">
      <alignment horizontal="center" vertical="center"/>
    </xf>
    <xf numFmtId="0" fontId="4" fillId="13" borderId="39" xfId="0" applyFont="1" applyFill="1" applyBorder="1" applyAlignment="1">
      <alignment horizontal="center" vertical="center"/>
    </xf>
    <xf numFmtId="0" fontId="4" fillId="13" borderId="44" xfId="0" applyFont="1" applyFill="1" applyBorder="1" applyAlignment="1">
      <alignment horizontal="center" vertical="center" wrapText="1"/>
    </xf>
    <xf numFmtId="0" fontId="4" fillId="13" borderId="59" xfId="0" applyFont="1" applyFill="1" applyBorder="1" applyAlignment="1">
      <alignment horizontal="center" vertical="center" wrapText="1"/>
    </xf>
    <xf numFmtId="0" fontId="7" fillId="13" borderId="59" xfId="0" applyFont="1" applyFill="1" applyBorder="1" applyAlignment="1">
      <alignment horizontal="center" vertical="center" wrapText="1"/>
    </xf>
    <xf numFmtId="0" fontId="7" fillId="13" borderId="38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4" fillId="13" borderId="33" xfId="0" applyFont="1" applyFill="1" applyBorder="1" applyAlignment="1">
      <alignment horizontal="center" vertical="center"/>
    </xf>
    <xf numFmtId="0" fontId="4" fillId="13" borderId="24" xfId="0" applyFont="1" applyFill="1" applyBorder="1" applyAlignment="1">
      <alignment horizontal="center" vertical="center" wrapText="1"/>
    </xf>
    <xf numFmtId="0" fontId="4" fillId="13" borderId="25" xfId="0" applyFont="1" applyFill="1" applyBorder="1" applyAlignment="1">
      <alignment horizontal="center" vertical="center" wrapText="1"/>
    </xf>
    <xf numFmtId="0" fontId="4" fillId="13" borderId="5" xfId="0" applyFont="1" applyFill="1" applyBorder="1" applyAlignment="1">
      <alignment horizontal="center" vertical="center" wrapText="1"/>
    </xf>
    <xf numFmtId="0" fontId="7" fillId="13" borderId="31" xfId="0" applyFont="1" applyFill="1" applyBorder="1" applyAlignment="1">
      <alignment horizontal="center" vertical="center"/>
    </xf>
    <xf numFmtId="0" fontId="73" fillId="10" borderId="46" xfId="0" applyFont="1" applyFill="1" applyBorder="1" applyAlignment="1">
      <alignment horizontal="right" vertical="center"/>
    </xf>
    <xf numFmtId="0" fontId="73" fillId="10" borderId="19" xfId="0" applyFont="1" applyFill="1" applyBorder="1" applyAlignment="1">
      <alignment horizontal="right" vertical="center"/>
    </xf>
    <xf numFmtId="0" fontId="73" fillId="10" borderId="31" xfId="0" applyFont="1" applyFill="1" applyBorder="1" applyAlignment="1">
      <alignment horizontal="right" vertical="center"/>
    </xf>
    <xf numFmtId="0" fontId="73" fillId="9" borderId="46" xfId="0" applyFont="1" applyFill="1" applyBorder="1" applyAlignment="1">
      <alignment horizontal="right" vertical="center"/>
    </xf>
    <xf numFmtId="0" fontId="73" fillId="9" borderId="19" xfId="0" applyFont="1" applyFill="1" applyBorder="1" applyAlignment="1">
      <alignment horizontal="right" vertical="center"/>
    </xf>
    <xf numFmtId="0" fontId="73" fillId="9" borderId="31" xfId="0" applyFont="1" applyFill="1" applyBorder="1" applyAlignment="1">
      <alignment horizontal="right" vertical="center"/>
    </xf>
    <xf numFmtId="0" fontId="64" fillId="13" borderId="24" xfId="0" applyFont="1" applyFill="1" applyBorder="1" applyAlignment="1">
      <alignment horizontal="center" vertical="center"/>
    </xf>
    <xf numFmtId="0" fontId="64" fillId="13" borderId="5" xfId="0" applyFont="1" applyFill="1" applyBorder="1" applyAlignment="1">
      <alignment horizontal="center" vertical="center"/>
    </xf>
    <xf numFmtId="0" fontId="64" fillId="13" borderId="26" xfId="0" applyFont="1" applyFill="1" applyBorder="1" applyAlignment="1">
      <alignment horizontal="center" vertical="center" wrapText="1"/>
    </xf>
    <xf numFmtId="0" fontId="64" fillId="13" borderId="27" xfId="0" applyFont="1" applyFill="1" applyBorder="1" applyAlignment="1">
      <alignment horizontal="center" vertical="center" wrapText="1"/>
    </xf>
    <xf numFmtId="0" fontId="64" fillId="13" borderId="28" xfId="0" applyFont="1" applyFill="1" applyBorder="1" applyAlignment="1">
      <alignment horizontal="center" vertical="center" wrapText="1"/>
    </xf>
    <xf numFmtId="0" fontId="64" fillId="13" borderId="47" xfId="0" applyFont="1" applyFill="1" applyBorder="1" applyAlignment="1">
      <alignment horizontal="center" vertical="center" wrapText="1"/>
    </xf>
    <xf numFmtId="0" fontId="64" fillId="13" borderId="33" xfId="0" applyFont="1" applyFill="1" applyBorder="1" applyAlignment="1">
      <alignment horizontal="center" vertical="center" wrapText="1"/>
    </xf>
    <xf numFmtId="0" fontId="64" fillId="13" borderId="39" xfId="0" applyFont="1" applyFill="1" applyBorder="1" applyAlignment="1">
      <alignment horizontal="center" vertical="center" wrapText="1"/>
    </xf>
    <xf numFmtId="0" fontId="64" fillId="13" borderId="69" xfId="0" applyFont="1" applyFill="1" applyBorder="1" applyAlignment="1">
      <alignment horizontal="center" vertical="center" wrapText="1"/>
    </xf>
    <xf numFmtId="0" fontId="64" fillId="13" borderId="87" xfId="0" applyFont="1" applyFill="1" applyBorder="1" applyAlignment="1">
      <alignment horizontal="center" vertical="center" wrapText="1"/>
    </xf>
    <xf numFmtId="0" fontId="64" fillId="13" borderId="3" xfId="0" applyFont="1" applyFill="1" applyBorder="1" applyAlignment="1">
      <alignment horizontal="center" vertical="center" wrapText="1"/>
    </xf>
    <xf numFmtId="0" fontId="64" fillId="13" borderId="43" xfId="0" applyFont="1" applyFill="1" applyBorder="1" applyAlignment="1">
      <alignment horizontal="center" vertical="center" wrapText="1"/>
    </xf>
    <xf numFmtId="0" fontId="64" fillId="13" borderId="0" xfId="0" applyFont="1" applyFill="1" applyAlignment="1">
      <alignment horizontal="center" vertical="center" wrapText="1"/>
    </xf>
    <xf numFmtId="0" fontId="64" fillId="13" borderId="58" xfId="0" applyFont="1" applyFill="1" applyBorder="1" applyAlignment="1">
      <alignment horizontal="center" vertical="center" wrapText="1"/>
    </xf>
    <xf numFmtId="0" fontId="64" fillId="13" borderId="26" xfId="0" applyFont="1" applyFill="1" applyBorder="1" applyAlignment="1">
      <alignment horizontal="center" vertical="center"/>
    </xf>
    <xf numFmtId="0" fontId="64" fillId="13" borderId="27" xfId="0" applyFont="1" applyFill="1" applyBorder="1" applyAlignment="1">
      <alignment horizontal="center" vertical="center"/>
    </xf>
    <xf numFmtId="0" fontId="64" fillId="13" borderId="28" xfId="0" applyFont="1" applyFill="1" applyBorder="1" applyAlignment="1">
      <alignment horizontal="center" vertical="center"/>
    </xf>
    <xf numFmtId="0" fontId="64" fillId="13" borderId="46" xfId="0" applyFont="1" applyFill="1" applyBorder="1" applyAlignment="1">
      <alignment horizontal="center" vertical="center" wrapText="1"/>
    </xf>
    <xf numFmtId="0" fontId="64" fillId="13" borderId="51" xfId="0" applyFont="1" applyFill="1" applyBorder="1" applyAlignment="1">
      <alignment horizontal="center" vertical="center" wrapText="1"/>
    </xf>
    <xf numFmtId="0" fontId="64" fillId="13" borderId="25" xfId="0" applyFont="1" applyFill="1" applyBorder="1" applyAlignment="1">
      <alignment horizontal="center" vertical="center"/>
    </xf>
    <xf numFmtId="0" fontId="64" fillId="13" borderId="3" xfId="0" applyFont="1" applyFill="1" applyBorder="1" applyAlignment="1">
      <alignment horizontal="center" vertical="center"/>
    </xf>
    <xf numFmtId="0" fontId="64" fillId="13" borderId="4" xfId="0" applyFont="1" applyFill="1" applyBorder="1" applyAlignment="1">
      <alignment horizontal="center" vertical="center"/>
    </xf>
    <xf numFmtId="0" fontId="64" fillId="13" borderId="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wrapText="1"/>
    </xf>
    <xf numFmtId="0" fontId="7" fillId="0" borderId="5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6" fillId="0" borderId="81" xfId="0" applyFont="1" applyBorder="1" applyAlignment="1">
      <alignment horizontal="left"/>
    </xf>
    <xf numFmtId="0" fontId="16" fillId="0" borderId="68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left"/>
    </xf>
    <xf numFmtId="0" fontId="15" fillId="0" borderId="46" xfId="137" applyFont="1" applyBorder="1" applyAlignment="1">
      <alignment horizontal="right" wrapText="1"/>
    </xf>
    <xf numFmtId="0" fontId="15" fillId="0" borderId="19" xfId="137" applyFont="1" applyBorder="1" applyAlignment="1">
      <alignment horizontal="right" wrapText="1"/>
    </xf>
    <xf numFmtId="0" fontId="16" fillId="0" borderId="76" xfId="0" applyFont="1" applyBorder="1" applyAlignment="1">
      <alignment horizontal="left"/>
    </xf>
    <xf numFmtId="0" fontId="16" fillId="0" borderId="40" xfId="0" applyFont="1" applyBorder="1" applyAlignment="1">
      <alignment horizontal="left"/>
    </xf>
    <xf numFmtId="0" fontId="15" fillId="9" borderId="46" xfId="0" applyFont="1" applyFill="1" applyBorder="1" applyAlignment="1">
      <alignment horizontal="left"/>
    </xf>
    <xf numFmtId="0" fontId="15" fillId="9" borderId="19" xfId="0" applyFont="1" applyFill="1" applyBorder="1" applyAlignment="1">
      <alignment horizontal="left"/>
    </xf>
    <xf numFmtId="0" fontId="15" fillId="9" borderId="31" xfId="0" applyFont="1" applyFill="1" applyBorder="1" applyAlignment="1">
      <alignment horizontal="left"/>
    </xf>
    <xf numFmtId="0" fontId="16" fillId="0" borderId="53" xfId="0" applyFont="1" applyBorder="1" applyAlignment="1">
      <alignment horizontal="left" wrapText="1"/>
    </xf>
    <xf numFmtId="0" fontId="16" fillId="0" borderId="54" xfId="0" applyFont="1" applyBorder="1" applyAlignment="1">
      <alignment horizontal="left" wrapText="1"/>
    </xf>
    <xf numFmtId="0" fontId="16" fillId="0" borderId="42" xfId="0" applyFont="1" applyBorder="1" applyAlignment="1">
      <alignment horizontal="left" wrapText="1"/>
    </xf>
    <xf numFmtId="0" fontId="16" fillId="0" borderId="83" xfId="0" applyFont="1" applyBorder="1" applyAlignment="1">
      <alignment horizontal="left" wrapText="1"/>
    </xf>
    <xf numFmtId="0" fontId="16" fillId="0" borderId="93" xfId="0" applyFont="1" applyBorder="1" applyAlignment="1">
      <alignment horizontal="left" wrapText="1"/>
    </xf>
    <xf numFmtId="0" fontId="16" fillId="0" borderId="65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5" fillId="9" borderId="79" xfId="0" applyFont="1" applyFill="1" applyBorder="1" applyAlignment="1">
      <alignment horizontal="left"/>
    </xf>
    <xf numFmtId="0" fontId="5" fillId="9" borderId="58" xfId="0" applyFont="1" applyFill="1" applyBorder="1" applyAlignment="1">
      <alignment horizontal="left"/>
    </xf>
    <xf numFmtId="0" fontId="5" fillId="9" borderId="59" xfId="0" applyFont="1" applyFill="1" applyBorder="1" applyAlignment="1">
      <alignment horizontal="left"/>
    </xf>
    <xf numFmtId="0" fontId="16" fillId="0" borderId="11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5" fillId="0" borderId="79" xfId="137" applyFont="1" applyBorder="1" applyAlignment="1">
      <alignment horizontal="right" wrapText="1"/>
    </xf>
    <xf numFmtId="0" fontId="15" fillId="0" borderId="58" xfId="137" applyFont="1" applyBorder="1" applyAlignment="1">
      <alignment horizontal="right" wrapText="1"/>
    </xf>
    <xf numFmtId="0" fontId="16" fillId="0" borderId="34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4" fillId="13" borderId="26" xfId="0" applyFont="1" applyFill="1" applyBorder="1" applyAlignment="1">
      <alignment horizontal="center" wrapText="1"/>
    </xf>
    <xf numFmtId="0" fontId="4" fillId="13" borderId="28" xfId="0" applyFont="1" applyFill="1" applyBorder="1" applyAlignment="1">
      <alignment horizontal="center" wrapText="1"/>
    </xf>
    <xf numFmtId="0" fontId="4" fillId="0" borderId="82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5" fillId="9" borderId="43" xfId="0" applyFont="1" applyFill="1" applyBorder="1" applyAlignment="1">
      <alignment horizontal="left"/>
    </xf>
    <xf numFmtId="0" fontId="5" fillId="9" borderId="44" xfId="0" applyFont="1" applyFill="1" applyBorder="1" applyAlignment="1">
      <alignment horizontal="left"/>
    </xf>
    <xf numFmtId="0" fontId="16" fillId="13" borderId="46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center" vertical="center"/>
    </xf>
    <xf numFmtId="0" fontId="16" fillId="13" borderId="31" xfId="0" applyFont="1" applyFill="1" applyBorder="1" applyAlignment="1">
      <alignment horizontal="center" vertical="center"/>
    </xf>
    <xf numFmtId="0" fontId="4" fillId="0" borderId="69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4" fillId="0" borderId="23" xfId="0" applyFont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2" fontId="7" fillId="0" borderId="53" xfId="0" applyNumberFormat="1" applyFont="1" applyBorder="1" applyAlignment="1">
      <alignment horizontal="left" wrapText="1"/>
    </xf>
    <xf numFmtId="2" fontId="7" fillId="0" borderId="54" xfId="0" applyNumberFormat="1" applyFont="1" applyBorder="1" applyAlignment="1">
      <alignment horizontal="left" wrapText="1"/>
    </xf>
    <xf numFmtId="2" fontId="7" fillId="0" borderId="42" xfId="0" applyNumberFormat="1" applyFont="1" applyBorder="1" applyAlignment="1">
      <alignment horizontal="left" wrapText="1"/>
    </xf>
    <xf numFmtId="2" fontId="7" fillId="0" borderId="23" xfId="0" applyNumberFormat="1" applyFont="1" applyBorder="1" applyAlignment="1">
      <alignment horizontal="left" wrapText="1"/>
    </xf>
    <xf numFmtId="2" fontId="7" fillId="0" borderId="57" xfId="0" applyNumberFormat="1" applyFont="1" applyBorder="1" applyAlignment="1">
      <alignment horizontal="left" wrapText="1"/>
    </xf>
    <xf numFmtId="2" fontId="7" fillId="0" borderId="18" xfId="0" applyNumberFormat="1" applyFont="1" applyBorder="1" applyAlignment="1">
      <alignment horizontal="left" wrapText="1"/>
    </xf>
    <xf numFmtId="0" fontId="7" fillId="16" borderId="26" xfId="0" applyFont="1" applyFill="1" applyBorder="1" applyAlignment="1">
      <alignment horizontal="center" vertical="center"/>
    </xf>
    <xf numFmtId="0" fontId="7" fillId="16" borderId="27" xfId="0" applyFont="1" applyFill="1" applyBorder="1" applyAlignment="1">
      <alignment horizontal="center" vertical="center"/>
    </xf>
    <xf numFmtId="0" fontId="7" fillId="16" borderId="77" xfId="0" applyFont="1" applyFill="1" applyBorder="1" applyAlignment="1">
      <alignment horizontal="center" vertical="center"/>
    </xf>
    <xf numFmtId="0" fontId="7" fillId="16" borderId="28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left"/>
    </xf>
    <xf numFmtId="0" fontId="5" fillId="9" borderId="31" xfId="0" applyFont="1" applyFill="1" applyBorder="1" applyAlignment="1">
      <alignment horizontal="left"/>
    </xf>
    <xf numFmtId="0" fontId="4" fillId="13" borderId="77" xfId="0" applyFont="1" applyFill="1" applyBorder="1" applyAlignment="1">
      <alignment horizontal="center" vertical="center" wrapText="1"/>
    </xf>
    <xf numFmtId="0" fontId="9" fillId="0" borderId="4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16" fillId="13" borderId="24" xfId="0" applyFont="1" applyFill="1" applyBorder="1" applyAlignment="1">
      <alignment horizontal="center" vertical="center"/>
    </xf>
    <xf numFmtId="0" fontId="16" fillId="13" borderId="25" xfId="0" applyFont="1" applyFill="1" applyBorder="1" applyAlignment="1">
      <alignment horizontal="center" vertical="center"/>
    </xf>
    <xf numFmtId="0" fontId="16" fillId="13" borderId="5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right" wrapText="1"/>
    </xf>
    <xf numFmtId="0" fontId="5" fillId="0" borderId="58" xfId="0" applyFont="1" applyBorder="1" applyAlignment="1">
      <alignment horizontal="right" wrapText="1"/>
    </xf>
    <xf numFmtId="0" fontId="15" fillId="0" borderId="58" xfId="145" applyFont="1" applyBorder="1" applyAlignment="1">
      <alignment horizontal="right" vertical="center" wrapText="1"/>
    </xf>
    <xf numFmtId="0" fontId="9" fillId="0" borderId="25" xfId="0" applyFont="1" applyBorder="1" applyAlignment="1">
      <alignment horizont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wrapText="1"/>
    </xf>
    <xf numFmtId="0" fontId="7" fillId="0" borderId="53" xfId="145" applyFont="1" applyBorder="1" applyAlignment="1">
      <alignment vertical="center" wrapText="1"/>
    </xf>
    <xf numFmtId="0" fontId="7" fillId="0" borderId="54" xfId="145" applyFont="1" applyBorder="1" applyAlignment="1">
      <alignment vertical="center" wrapText="1"/>
    </xf>
    <xf numFmtId="0" fontId="7" fillId="0" borderId="55" xfId="145" applyFont="1" applyBorder="1" applyAlignment="1">
      <alignment vertical="center" wrapText="1"/>
    </xf>
    <xf numFmtId="0" fontId="7" fillId="0" borderId="83" xfId="145" applyFont="1" applyBorder="1" applyAlignment="1">
      <alignment vertical="center" wrapText="1"/>
    </xf>
    <xf numFmtId="0" fontId="7" fillId="0" borderId="93" xfId="145" applyFont="1" applyBorder="1" applyAlignment="1">
      <alignment vertical="center" wrapText="1"/>
    </xf>
    <xf numFmtId="0" fontId="7" fillId="0" borderId="60" xfId="145" applyFont="1" applyBorder="1" applyAlignment="1">
      <alignment vertical="center" wrapText="1"/>
    </xf>
    <xf numFmtId="0" fontId="35" fillId="0" borderId="46" xfId="0" applyFont="1" applyBorder="1" applyAlignment="1">
      <alignment horizontal="right" wrapText="1"/>
    </xf>
    <xf numFmtId="0" fontId="35" fillId="0" borderId="19" xfId="0" applyFont="1" applyBorder="1" applyAlignment="1">
      <alignment horizontal="right" wrapText="1"/>
    </xf>
    <xf numFmtId="0" fontId="35" fillId="0" borderId="58" xfId="0" applyFont="1" applyBorder="1" applyAlignment="1">
      <alignment horizontal="right" wrapText="1"/>
    </xf>
    <xf numFmtId="0" fontId="4" fillId="0" borderId="82" xfId="0" applyFont="1" applyBorder="1" applyAlignment="1">
      <alignment horizontal="left" wrapText="1"/>
    </xf>
    <xf numFmtId="0" fontId="4" fillId="0" borderId="56" xfId="0" applyFont="1" applyBorder="1" applyAlignment="1">
      <alignment horizontal="left" wrapText="1"/>
    </xf>
    <xf numFmtId="0" fontId="4" fillId="0" borderId="61" xfId="0" applyFont="1" applyBorder="1" applyAlignment="1">
      <alignment horizontal="left" wrapText="1"/>
    </xf>
    <xf numFmtId="0" fontId="7" fillId="0" borderId="53" xfId="145" applyFont="1" applyBorder="1" applyAlignment="1">
      <alignment horizontal="left" vertical="center" wrapText="1"/>
    </xf>
    <xf numFmtId="0" fontId="7" fillId="0" borderId="54" xfId="145" applyFont="1" applyBorder="1" applyAlignment="1">
      <alignment horizontal="left" vertical="center" wrapText="1"/>
    </xf>
    <xf numFmtId="0" fontId="4" fillId="0" borderId="81" xfId="0" applyFont="1" applyBorder="1" applyAlignment="1">
      <alignment horizontal="left" wrapText="1"/>
    </xf>
    <xf numFmtId="0" fontId="4" fillId="0" borderId="68" xfId="0" applyFont="1" applyBorder="1" applyAlignment="1">
      <alignment horizontal="left" wrapText="1"/>
    </xf>
    <xf numFmtId="0" fontId="4" fillId="0" borderId="60" xfId="0" applyFont="1" applyBorder="1" applyAlignment="1">
      <alignment horizontal="left" wrapText="1"/>
    </xf>
    <xf numFmtId="0" fontId="5" fillId="9" borderId="46" xfId="0" applyFont="1" applyFill="1" applyBorder="1" applyAlignment="1">
      <alignment horizontal="left"/>
    </xf>
    <xf numFmtId="0" fontId="50" fillId="14" borderId="23" xfId="145" applyFont="1" applyFill="1" applyBorder="1" applyAlignment="1">
      <alignment horizontal="left" vertical="center" wrapText="1"/>
    </xf>
    <xf numFmtId="0" fontId="50" fillId="14" borderId="57" xfId="145" applyFont="1" applyFill="1" applyBorder="1" applyAlignment="1">
      <alignment horizontal="left" vertical="center" wrapText="1"/>
    </xf>
    <xf numFmtId="0" fontId="50" fillId="14" borderId="81" xfId="145" applyFont="1" applyFill="1" applyBorder="1" applyAlignment="1">
      <alignment horizontal="left"/>
    </xf>
    <xf numFmtId="0" fontId="50" fillId="14" borderId="68" xfId="145" applyFont="1" applyFill="1" applyBorder="1" applyAlignment="1">
      <alignment horizontal="left"/>
    </xf>
    <xf numFmtId="0" fontId="15" fillId="14" borderId="53" xfId="145" applyFont="1" applyFill="1" applyBorder="1" applyAlignment="1">
      <alignment horizontal="left" vertical="center" wrapText="1"/>
    </xf>
    <xf numFmtId="0" fontId="15" fillId="14" borderId="54" xfId="145" applyFont="1" applyFill="1" applyBorder="1" applyAlignment="1">
      <alignment horizontal="left" vertical="center" wrapText="1"/>
    </xf>
    <xf numFmtId="0" fontId="7" fillId="13" borderId="23" xfId="145" applyFont="1" applyFill="1" applyBorder="1" applyAlignment="1">
      <alignment horizontal="left" vertical="center" wrapText="1"/>
    </xf>
    <xf numFmtId="0" fontId="7" fillId="13" borderId="57" xfId="145" applyFont="1" applyFill="1" applyBorder="1" applyAlignment="1">
      <alignment horizontal="left" vertical="center" wrapText="1"/>
    </xf>
    <xf numFmtId="0" fontId="11" fillId="13" borderId="23" xfId="145" applyFill="1" applyBorder="1" applyAlignment="1">
      <alignment horizontal="right" vertical="center" wrapText="1"/>
    </xf>
    <xf numFmtId="0" fontId="11" fillId="13" borderId="57" xfId="145" applyFill="1" applyBorder="1" applyAlignment="1">
      <alignment horizontal="right" vertical="center" wrapText="1"/>
    </xf>
    <xf numFmtId="0" fontId="11" fillId="13" borderId="23" xfId="145" applyFill="1" applyBorder="1" applyAlignment="1">
      <alignment horizontal="left" vertical="center" wrapText="1"/>
    </xf>
    <xf numFmtId="0" fontId="11" fillId="13" borderId="57" xfId="145" applyFill="1" applyBorder="1" applyAlignment="1">
      <alignment horizontal="left" vertical="center" wrapText="1"/>
    </xf>
    <xf numFmtId="0" fontId="35" fillId="0" borderId="0" xfId="0" applyFont="1" applyAlignment="1">
      <alignment horizontal="right" wrapText="1"/>
    </xf>
    <xf numFmtId="0" fontId="4" fillId="0" borderId="46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51" xfId="0" applyFont="1" applyBorder="1" applyAlignment="1">
      <alignment wrapText="1"/>
    </xf>
    <xf numFmtId="0" fontId="11" fillId="13" borderId="82" xfId="145" applyFill="1" applyBorder="1" applyAlignment="1">
      <alignment horizontal="left"/>
    </xf>
    <xf numFmtId="0" fontId="11" fillId="13" borderId="56" xfId="145" applyFill="1" applyBorder="1" applyAlignment="1">
      <alignment horizontal="left"/>
    </xf>
    <xf numFmtId="0" fontId="11" fillId="13" borderId="23" xfId="145" applyFill="1" applyBorder="1" applyAlignment="1">
      <alignment horizontal="left" wrapText="1"/>
    </xf>
    <xf numFmtId="0" fontId="11" fillId="13" borderId="57" xfId="145" applyFill="1" applyBorder="1" applyAlignment="1">
      <alignment horizontal="left" wrapText="1"/>
    </xf>
    <xf numFmtId="0" fontId="11" fillId="13" borderId="23" xfId="145" applyFill="1" applyBorder="1" applyAlignment="1">
      <alignment horizontal="left"/>
    </xf>
    <xf numFmtId="0" fontId="11" fillId="13" borderId="57" xfId="145" applyFill="1" applyBorder="1" applyAlignment="1">
      <alignment horizontal="left"/>
    </xf>
    <xf numFmtId="0" fontId="5" fillId="13" borderId="13" xfId="0" applyFont="1" applyFill="1" applyBorder="1" applyAlignment="1">
      <alignment horizontal="center" vertical="center"/>
    </xf>
    <xf numFmtId="0" fontId="5" fillId="13" borderId="18" xfId="0" applyFont="1" applyFill="1" applyBorder="1" applyAlignment="1">
      <alignment horizontal="center" vertical="center"/>
    </xf>
    <xf numFmtId="0" fontId="5" fillId="13" borderId="35" xfId="0" applyFont="1" applyFill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0" fontId="5" fillId="13" borderId="11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0" fontId="4" fillId="13" borderId="11" xfId="0" applyFont="1" applyFill="1" applyBorder="1" applyAlignment="1">
      <alignment vertical="center" wrapText="1"/>
    </xf>
    <xf numFmtId="0" fontId="4" fillId="13" borderId="10" xfId="0" applyFont="1" applyFill="1" applyBorder="1" applyAlignment="1">
      <alignment vertical="center" wrapText="1"/>
    </xf>
    <xf numFmtId="0" fontId="4" fillId="13" borderId="15" xfId="0" applyFont="1" applyFill="1" applyBorder="1" applyAlignment="1">
      <alignment vertical="center" wrapText="1"/>
    </xf>
    <xf numFmtId="0" fontId="4" fillId="13" borderId="14" xfId="0" applyFont="1" applyFill="1" applyBorder="1" applyAlignment="1">
      <alignment vertical="center" wrapText="1"/>
    </xf>
    <xf numFmtId="0" fontId="75" fillId="0" borderId="8" xfId="0" applyFont="1" applyBorder="1" applyAlignment="1">
      <alignment horizontal="center" vertical="center" wrapText="1"/>
    </xf>
    <xf numFmtId="0" fontId="75" fillId="0" borderId="16" xfId="0" applyFont="1" applyBorder="1" applyAlignment="1">
      <alignment horizontal="center" vertical="center" wrapText="1"/>
    </xf>
    <xf numFmtId="0" fontId="4" fillId="0" borderId="46" xfId="0" applyFont="1" applyBorder="1"/>
    <xf numFmtId="1" fontId="5" fillId="0" borderId="67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89" fillId="0" borderId="5" xfId="0" applyFont="1" applyBorder="1" applyAlignment="1">
      <alignment horizontal="center"/>
    </xf>
    <xf numFmtId="0" fontId="15" fillId="13" borderId="19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9" borderId="20" xfId="0" applyFont="1" applyFill="1" applyBorder="1" applyAlignment="1">
      <alignment horizontal="left" vertical="center"/>
    </xf>
    <xf numFmtId="0" fontId="5" fillId="9" borderId="7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7" fillId="13" borderId="65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13" borderId="93" xfId="0" applyFont="1" applyFill="1" applyBorder="1" applyAlignment="1">
      <alignment horizontal="center"/>
    </xf>
    <xf numFmtId="0" fontId="7" fillId="13" borderId="65" xfId="0" applyFont="1" applyFill="1" applyBorder="1" applyAlignment="1">
      <alignment horizontal="center"/>
    </xf>
    <xf numFmtId="0" fontId="7" fillId="13" borderId="110" xfId="0" applyFont="1" applyFill="1" applyBorder="1" applyAlignment="1">
      <alignment horizontal="center"/>
    </xf>
    <xf numFmtId="0" fontId="15" fillId="13" borderId="31" xfId="0" applyFont="1" applyFill="1" applyBorder="1" applyAlignment="1">
      <alignment horizontal="center"/>
    </xf>
    <xf numFmtId="1" fontId="50" fillId="0" borderId="10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165" fontId="54" fillId="0" borderId="12" xfId="0" applyNumberFormat="1" applyFont="1" applyBorder="1" applyAlignment="1">
      <alignment horizontal="center" vertical="center"/>
    </xf>
    <xf numFmtId="0" fontId="5" fillId="13" borderId="21" xfId="0" applyFont="1" applyFill="1" applyBorder="1" applyAlignment="1">
      <alignment horizontal="center" vertical="center"/>
    </xf>
    <xf numFmtId="0" fontId="5" fillId="13" borderId="22" xfId="0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0" fontId="17" fillId="13" borderId="16" xfId="0" applyFont="1" applyFill="1" applyBorder="1" applyAlignment="1">
      <alignment horizontal="center" vertical="center" wrapText="1"/>
    </xf>
    <xf numFmtId="0" fontId="81" fillId="13" borderId="10" xfId="0" applyFont="1" applyFill="1" applyBorder="1" applyAlignment="1">
      <alignment horizontal="center" vertical="center"/>
    </xf>
    <xf numFmtId="0" fontId="5" fillId="13" borderId="41" xfId="0" applyFont="1" applyFill="1" applyBorder="1" applyAlignment="1">
      <alignment horizontal="center" vertical="center"/>
    </xf>
    <xf numFmtId="0" fontId="17" fillId="13" borderId="11" xfId="0" applyFont="1" applyFill="1" applyBorder="1" applyAlignment="1">
      <alignment horizontal="right" vertical="center"/>
    </xf>
    <xf numFmtId="0" fontId="4" fillId="13" borderId="51" xfId="0" applyFont="1" applyFill="1" applyBorder="1" applyAlignment="1">
      <alignment horizontal="center" vertical="center"/>
    </xf>
    <xf numFmtId="165" fontId="4" fillId="13" borderId="25" xfId="0" applyNumberFormat="1" applyFont="1" applyFill="1" applyBorder="1" applyAlignment="1">
      <alignment horizontal="center" vertical="center"/>
    </xf>
    <xf numFmtId="165" fontId="4" fillId="13" borderId="29" xfId="0" applyNumberFormat="1" applyFont="1" applyFill="1" applyBorder="1" applyAlignment="1">
      <alignment horizontal="center" vertical="center"/>
    </xf>
    <xf numFmtId="0" fontId="4" fillId="13" borderId="29" xfId="0" applyFont="1" applyFill="1" applyBorder="1" applyAlignment="1">
      <alignment horizontal="center" vertical="center"/>
    </xf>
    <xf numFmtId="1" fontId="5" fillId="13" borderId="31" xfId="0" applyNumberFormat="1" applyFont="1" applyFill="1" applyBorder="1" applyAlignment="1">
      <alignment horizontal="center" vertical="center"/>
    </xf>
    <xf numFmtId="0" fontId="0" fillId="13" borderId="3" xfId="0" applyFill="1" applyBorder="1" applyAlignment="1">
      <alignment horizontal="center"/>
    </xf>
    <xf numFmtId="0" fontId="0" fillId="13" borderId="91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4" fillId="13" borderId="2" xfId="0" applyFont="1" applyFill="1" applyBorder="1" applyAlignment="1">
      <alignment horizontal="center" vertical="center"/>
    </xf>
    <xf numFmtId="1" fontId="5" fillId="13" borderId="63" xfId="0" applyNumberFormat="1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right" vertical="center"/>
    </xf>
    <xf numFmtId="1" fontId="5" fillId="13" borderId="32" xfId="0" applyNumberFormat="1" applyFont="1" applyFill="1" applyBorder="1" applyAlignment="1">
      <alignment horizontal="center" vertical="center"/>
    </xf>
    <xf numFmtId="0" fontId="5" fillId="13" borderId="7" xfId="0" applyFont="1" applyFill="1" applyBorder="1" applyAlignment="1">
      <alignment horizontal="center" vertical="center"/>
    </xf>
    <xf numFmtId="0" fontId="4" fillId="13" borderId="9" xfId="0" applyFont="1" applyFill="1" applyBorder="1" applyAlignment="1">
      <alignment horizontal="center" vertical="center"/>
    </xf>
    <xf numFmtId="0" fontId="5" fillId="13" borderId="6" xfId="0" applyFont="1" applyFill="1" applyBorder="1" applyAlignment="1">
      <alignment horizontal="center" vertical="center"/>
    </xf>
    <xf numFmtId="0" fontId="4" fillId="13" borderId="80" xfId="0" applyFont="1" applyFill="1" applyBorder="1" applyAlignment="1">
      <alignment horizontal="center" vertical="center"/>
    </xf>
    <xf numFmtId="0" fontId="0" fillId="13" borderId="12" xfId="0" applyFill="1" applyBorder="1"/>
    <xf numFmtId="0" fontId="17" fillId="13" borderId="46" xfId="0" applyFont="1" applyFill="1" applyBorder="1" applyAlignment="1">
      <alignment horizontal="right" vertical="center"/>
    </xf>
    <xf numFmtId="0" fontId="4" fillId="13" borderId="3" xfId="0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horizontal="center" vertical="center"/>
    </xf>
  </cellXfs>
  <cellStyles count="714">
    <cellStyle name="Accent 1 1" xfId="1"/>
    <cellStyle name="Accent 2 1" xfId="2"/>
    <cellStyle name="Accent 3 1" xfId="3"/>
    <cellStyle name="Accent 4" xfId="4"/>
    <cellStyle name="Bad 1" xfId="5"/>
    <cellStyle name="Comma" xfId="6" builtinId="3"/>
    <cellStyle name="Comma 2" xfId="7"/>
    <cellStyle name="Comma 3" xfId="8"/>
    <cellStyle name="Comma 4" xfId="9"/>
    <cellStyle name="Comma 5" xfId="10"/>
    <cellStyle name="Comma 6" xfId="11"/>
    <cellStyle name="Comma 7" xfId="12"/>
    <cellStyle name="Comma 8" xfId="13"/>
    <cellStyle name="Currency 2" xfId="14"/>
    <cellStyle name="Currency 2 10" xfId="15"/>
    <cellStyle name="Currency 2 11" xfId="16"/>
    <cellStyle name="Currency 2 12" xfId="17"/>
    <cellStyle name="Currency 2 13" xfId="18"/>
    <cellStyle name="Currency 2 14" xfId="19"/>
    <cellStyle name="Currency 2 15" xfId="20"/>
    <cellStyle name="Currency 2 16" xfId="21"/>
    <cellStyle name="Currency 2 17" xfId="22"/>
    <cellStyle name="Currency 2 18" xfId="23"/>
    <cellStyle name="Currency 2 19" xfId="24"/>
    <cellStyle name="Currency 2 2" xfId="25"/>
    <cellStyle name="Currency 2 20" xfId="26"/>
    <cellStyle name="Currency 2 21" xfId="27"/>
    <cellStyle name="Currency 2 22" xfId="28"/>
    <cellStyle name="Currency 2 23" xfId="29"/>
    <cellStyle name="Currency 2 24" xfId="30"/>
    <cellStyle name="Currency 2 25" xfId="31"/>
    <cellStyle name="Currency 2 26" xfId="32"/>
    <cellStyle name="Currency 2 27" xfId="33"/>
    <cellStyle name="Currency 2 28" xfId="34"/>
    <cellStyle name="Currency 2 29" xfId="35"/>
    <cellStyle name="Currency 2 3" xfId="36"/>
    <cellStyle name="Currency 2 30" xfId="37"/>
    <cellStyle name="Currency 2 31" xfId="38"/>
    <cellStyle name="Currency 2 32" xfId="39"/>
    <cellStyle name="Currency 2 33" xfId="40"/>
    <cellStyle name="Currency 2 34" xfId="41"/>
    <cellStyle name="Currency 2 35" xfId="42"/>
    <cellStyle name="Currency 2 36" xfId="43"/>
    <cellStyle name="Currency 2 37" xfId="44"/>
    <cellStyle name="Currency 2 38" xfId="45"/>
    <cellStyle name="Currency 2 39" xfId="46"/>
    <cellStyle name="Currency 2 4" xfId="47"/>
    <cellStyle name="Currency 2 40" xfId="48"/>
    <cellStyle name="Currency 2 41" xfId="49"/>
    <cellStyle name="Currency 2 42" xfId="50"/>
    <cellStyle name="Currency 2 43" xfId="51"/>
    <cellStyle name="Currency 2 44" xfId="52"/>
    <cellStyle name="Currency 2 45" xfId="53"/>
    <cellStyle name="Currency 2 46" xfId="54"/>
    <cellStyle name="Currency 2 47" xfId="55"/>
    <cellStyle name="Currency 2 5" xfId="56"/>
    <cellStyle name="Currency 2 6" xfId="57"/>
    <cellStyle name="Currency 2 7" xfId="58"/>
    <cellStyle name="Currency 2 8" xfId="59"/>
    <cellStyle name="Currency 2 9" xfId="60"/>
    <cellStyle name="Currency 3" xfId="61"/>
    <cellStyle name="Currency 4" xfId="62"/>
    <cellStyle name="Currency 5" xfId="63"/>
    <cellStyle name="Currency 6" xfId="64"/>
    <cellStyle name="Currency 7" xfId="65"/>
    <cellStyle name="Currency 8" xfId="66"/>
    <cellStyle name="Currency 9" xfId="67"/>
    <cellStyle name="Error 1" xfId="68"/>
    <cellStyle name="Footnote 1" xfId="69"/>
    <cellStyle name="Good 1" xfId="70"/>
    <cellStyle name="Heading 1 1" xfId="71"/>
    <cellStyle name="Heading 2 1" xfId="72"/>
    <cellStyle name="Heading 3" xfId="73"/>
    <cellStyle name="Hyperlink 1" xfId="74"/>
    <cellStyle name="Neutral 1" xfId="75"/>
    <cellStyle name="Normaallaad 2" xfId="76"/>
    <cellStyle name="Normal" xfId="0" builtinId="0"/>
    <cellStyle name="Normal 10" xfId="77"/>
    <cellStyle name="Normal 10 2" xfId="78"/>
    <cellStyle name="Normal 10 3" xfId="79"/>
    <cellStyle name="Normal 10 4" xfId="80"/>
    <cellStyle name="Normal 10 5" xfId="81"/>
    <cellStyle name="Normal 10 6" xfId="82"/>
    <cellStyle name="Normal 11" xfId="83"/>
    <cellStyle name="Normal 11 2" xfId="84"/>
    <cellStyle name="Normal 11 3" xfId="85"/>
    <cellStyle name="Normal 11 4" xfId="86"/>
    <cellStyle name="Normal 11 5" xfId="87"/>
    <cellStyle name="Normal 11 6" xfId="88"/>
    <cellStyle name="Normal 12" xfId="89"/>
    <cellStyle name="Normal 12 2" xfId="90"/>
    <cellStyle name="Normal 12 3" xfId="91"/>
    <cellStyle name="Normal 12 4" xfId="92"/>
    <cellStyle name="Normal 12 5" xfId="93"/>
    <cellStyle name="Normal 12 6" xfId="94"/>
    <cellStyle name="Normal 13" xfId="95"/>
    <cellStyle name="Normal 13 2" xfId="96"/>
    <cellStyle name="Normal 13 3" xfId="97"/>
    <cellStyle name="Normal 13 4" xfId="98"/>
    <cellStyle name="Normal 13 5" xfId="99"/>
    <cellStyle name="Normal 13 6" xfId="100"/>
    <cellStyle name="Normal 14" xfId="101"/>
    <cellStyle name="Normal 14 2" xfId="102"/>
    <cellStyle name="Normal 14 3" xfId="103"/>
    <cellStyle name="Normal 14 4" xfId="104"/>
    <cellStyle name="Normal 14 5" xfId="105"/>
    <cellStyle name="Normal 14 6" xfId="106"/>
    <cellStyle name="Normal 15" xfId="107"/>
    <cellStyle name="Normal 15 2" xfId="108"/>
    <cellStyle name="Normal 15 3" xfId="109"/>
    <cellStyle name="Normal 15 4" xfId="110"/>
    <cellStyle name="Normal 15 5" xfId="111"/>
    <cellStyle name="Normal 15 6" xfId="112"/>
    <cellStyle name="Normal 16" xfId="113"/>
    <cellStyle name="Normal 16 2" xfId="114"/>
    <cellStyle name="Normal 16 3" xfId="115"/>
    <cellStyle name="Normal 16 4" xfId="116"/>
    <cellStyle name="Normal 16 5" xfId="117"/>
    <cellStyle name="Normal 16 6" xfId="118"/>
    <cellStyle name="Normal 17" xfId="119"/>
    <cellStyle name="Normal 17 2" xfId="120"/>
    <cellStyle name="Normal 17 3" xfId="121"/>
    <cellStyle name="Normal 17 4" xfId="122"/>
    <cellStyle name="Normal 17 5" xfId="123"/>
    <cellStyle name="Normal 17 6" xfId="124"/>
    <cellStyle name="Normal 18" xfId="125"/>
    <cellStyle name="Normal 18 2" xfId="126"/>
    <cellStyle name="Normal 18 3" xfId="127"/>
    <cellStyle name="Normal 18 4" xfId="128"/>
    <cellStyle name="Normal 18 5" xfId="129"/>
    <cellStyle name="Normal 18 6" xfId="130"/>
    <cellStyle name="Normal 19" xfId="131"/>
    <cellStyle name="Normal 19 2" xfId="132"/>
    <cellStyle name="Normal 19 3" xfId="133"/>
    <cellStyle name="Normal 19 4" xfId="134"/>
    <cellStyle name="Normal 19 5" xfId="135"/>
    <cellStyle name="Normal 19 6" xfId="136"/>
    <cellStyle name="Normal 2" xfId="137"/>
    <cellStyle name="Normal 2 10" xfId="138"/>
    <cellStyle name="Normal 2 11" xfId="139"/>
    <cellStyle name="Normal 2 12" xfId="140"/>
    <cellStyle name="Normal 2 13" xfId="141"/>
    <cellStyle name="Normal 2 14" xfId="142"/>
    <cellStyle name="Normal 2 15" xfId="143"/>
    <cellStyle name="Normal 2 16" xfId="144"/>
    <cellStyle name="Normal 2 2" xfId="145"/>
    <cellStyle name="Normal 2 3" xfId="146"/>
    <cellStyle name="Normal 2 4" xfId="147"/>
    <cellStyle name="Normal 2 5" xfId="148"/>
    <cellStyle name="Normal 2 6" xfId="149"/>
    <cellStyle name="Normal 2 7" xfId="150"/>
    <cellStyle name="Normal 2 8" xfId="151"/>
    <cellStyle name="Normal 2 9" xfId="152"/>
    <cellStyle name="Normal 20" xfId="153"/>
    <cellStyle name="Normal 20 2" xfId="154"/>
    <cellStyle name="Normal 20 3" xfId="155"/>
    <cellStyle name="Normal 20 4" xfId="156"/>
    <cellStyle name="Normal 20 5" xfId="157"/>
    <cellStyle name="Normal 20 6" xfId="158"/>
    <cellStyle name="Normal 21" xfId="159"/>
    <cellStyle name="Normal 21 2" xfId="160"/>
    <cellStyle name="Normal 21 3" xfId="161"/>
    <cellStyle name="Normal 21 4" xfId="162"/>
    <cellStyle name="Normal 21 5" xfId="163"/>
    <cellStyle name="Normal 21 6" xfId="164"/>
    <cellStyle name="Normal 22" xfId="165"/>
    <cellStyle name="Normal 22 10" xfId="166"/>
    <cellStyle name="Normal 22 11" xfId="167"/>
    <cellStyle name="Normal 22 12" xfId="168"/>
    <cellStyle name="Normal 22 13" xfId="169"/>
    <cellStyle name="Normal 22 2" xfId="170"/>
    <cellStyle name="Normal 22 3" xfId="171"/>
    <cellStyle name="Normal 22 4" xfId="172"/>
    <cellStyle name="Normal 22 5" xfId="173"/>
    <cellStyle name="Normal 22 6" xfId="174"/>
    <cellStyle name="Normal 22 7" xfId="175"/>
    <cellStyle name="Normal 22 8" xfId="176"/>
    <cellStyle name="Normal 22 9" xfId="177"/>
    <cellStyle name="Normal 23" xfId="178"/>
    <cellStyle name="Normal 23 2" xfId="179"/>
    <cellStyle name="Normal 23 3" xfId="180"/>
    <cellStyle name="Normal 23 4" xfId="181"/>
    <cellStyle name="Normal 23 5" xfId="182"/>
    <cellStyle name="Normal 24" xfId="183"/>
    <cellStyle name="Normal 24 2" xfId="184"/>
    <cellStyle name="Normal 25" xfId="185"/>
    <cellStyle name="Normal 25 2" xfId="186"/>
    <cellStyle name="Normal 26" xfId="187"/>
    <cellStyle name="Normal 26 2" xfId="188"/>
    <cellStyle name="Normal 27" xfId="189"/>
    <cellStyle name="Normal 28" xfId="190"/>
    <cellStyle name="Normal 29" xfId="191"/>
    <cellStyle name="Normal 3" xfId="192"/>
    <cellStyle name="Normal 3 2" xfId="193"/>
    <cellStyle name="Normal 3 3" xfId="194"/>
    <cellStyle name="Normal 3 4" xfId="195"/>
    <cellStyle name="Normal 3 5" xfId="196"/>
    <cellStyle name="Normal 3 6" xfId="197"/>
    <cellStyle name="Normal 30" xfId="198"/>
    <cellStyle name="Normal 31" xfId="199"/>
    <cellStyle name="Normal 32" xfId="200"/>
    <cellStyle name="Normal 33" xfId="201"/>
    <cellStyle name="Normal 34" xfId="202"/>
    <cellStyle name="Normal 34 10" xfId="203"/>
    <cellStyle name="Normal 34 11" xfId="204"/>
    <cellStyle name="Normal 34 12" xfId="205"/>
    <cellStyle name="Normal 34 13" xfId="206"/>
    <cellStyle name="Normal 34 14" xfId="207"/>
    <cellStyle name="Normal 34 15" xfId="208"/>
    <cellStyle name="Normal 34 16" xfId="209"/>
    <cellStyle name="Normal 34 17" xfId="210"/>
    <cellStyle name="Normal 34 18" xfId="211"/>
    <cellStyle name="Normal 34 19" xfId="212"/>
    <cellStyle name="Normal 34 2" xfId="213"/>
    <cellStyle name="Normal 34 20" xfId="214"/>
    <cellStyle name="Normal 34 21" xfId="215"/>
    <cellStyle name="Normal 34 22" xfId="216"/>
    <cellStyle name="Normal 34 23" xfId="217"/>
    <cellStyle name="Normal 34 24" xfId="218"/>
    <cellStyle name="Normal 34 25" xfId="219"/>
    <cellStyle name="Normal 34 26" xfId="220"/>
    <cellStyle name="Normal 34 27" xfId="221"/>
    <cellStyle name="Normal 34 28" xfId="222"/>
    <cellStyle name="Normal 34 29" xfId="223"/>
    <cellStyle name="Normal 34 3" xfId="224"/>
    <cellStyle name="Normal 34 30" xfId="225"/>
    <cellStyle name="Normal 34 31" xfId="226"/>
    <cellStyle name="Normal 34 4" xfId="227"/>
    <cellStyle name="Normal 34 5" xfId="228"/>
    <cellStyle name="Normal 34 6" xfId="229"/>
    <cellStyle name="Normal 34 7" xfId="230"/>
    <cellStyle name="Normal 34 8" xfId="231"/>
    <cellStyle name="Normal 34 9" xfId="232"/>
    <cellStyle name="Normal 35" xfId="233"/>
    <cellStyle name="Normal 35 10" xfId="234"/>
    <cellStyle name="Normal 35 11" xfId="235"/>
    <cellStyle name="Normal 35 12" xfId="236"/>
    <cellStyle name="Normal 35 13" xfId="237"/>
    <cellStyle name="Normal 35 14" xfId="238"/>
    <cellStyle name="Normal 35 15" xfId="239"/>
    <cellStyle name="Normal 35 16" xfId="240"/>
    <cellStyle name="Normal 35 17" xfId="241"/>
    <cellStyle name="Normal 35 18" xfId="242"/>
    <cellStyle name="Normal 35 19" xfId="243"/>
    <cellStyle name="Normal 35 2" xfId="244"/>
    <cellStyle name="Normal 35 20" xfId="245"/>
    <cellStyle name="Normal 35 21" xfId="246"/>
    <cellStyle name="Normal 35 22" xfId="247"/>
    <cellStyle name="Normal 35 23" xfId="248"/>
    <cellStyle name="Normal 35 24" xfId="249"/>
    <cellStyle name="Normal 35 25" xfId="250"/>
    <cellStyle name="Normal 35 26" xfId="251"/>
    <cellStyle name="Normal 35 27" xfId="252"/>
    <cellStyle name="Normal 35 28" xfId="253"/>
    <cellStyle name="Normal 35 29" xfId="254"/>
    <cellStyle name="Normal 35 3" xfId="255"/>
    <cellStyle name="Normal 35 30" xfId="256"/>
    <cellStyle name="Normal 35 31" xfId="257"/>
    <cellStyle name="Normal 35 4" xfId="258"/>
    <cellStyle name="Normal 35 5" xfId="259"/>
    <cellStyle name="Normal 35 6" xfId="260"/>
    <cellStyle name="Normal 35 7" xfId="261"/>
    <cellStyle name="Normal 35 8" xfId="262"/>
    <cellStyle name="Normal 35 9" xfId="263"/>
    <cellStyle name="Normal 36" xfId="264"/>
    <cellStyle name="Normal 36 10" xfId="265"/>
    <cellStyle name="Normal 36 11" xfId="266"/>
    <cellStyle name="Normal 36 12" xfId="267"/>
    <cellStyle name="Normal 36 13" xfId="268"/>
    <cellStyle name="Normal 36 14" xfId="269"/>
    <cellStyle name="Normal 36 2" xfId="270"/>
    <cellStyle name="Normal 36 3" xfId="271"/>
    <cellStyle name="Normal 36 4" xfId="272"/>
    <cellStyle name="Normal 36 5" xfId="273"/>
    <cellStyle name="Normal 36 6" xfId="274"/>
    <cellStyle name="Normal 36 7" xfId="275"/>
    <cellStyle name="Normal 36 8" xfId="276"/>
    <cellStyle name="Normal 36 9" xfId="277"/>
    <cellStyle name="Normal 37" xfId="278"/>
    <cellStyle name="Normal 37 10" xfId="279"/>
    <cellStyle name="Normal 37 11" xfId="280"/>
    <cellStyle name="Normal 37 12" xfId="281"/>
    <cellStyle name="Normal 37 13" xfId="282"/>
    <cellStyle name="Normal 37 14" xfId="283"/>
    <cellStyle name="Normal 37 2" xfId="284"/>
    <cellStyle name="Normal 37 3" xfId="285"/>
    <cellStyle name="Normal 37 4" xfId="286"/>
    <cellStyle name="Normal 37 5" xfId="287"/>
    <cellStyle name="Normal 37 6" xfId="288"/>
    <cellStyle name="Normal 37 7" xfId="289"/>
    <cellStyle name="Normal 37 8" xfId="290"/>
    <cellStyle name="Normal 37 9" xfId="291"/>
    <cellStyle name="Normal 38" xfId="292"/>
    <cellStyle name="Normal 38 10" xfId="293"/>
    <cellStyle name="Normal 38 11" xfId="294"/>
    <cellStyle name="Normal 38 12" xfId="295"/>
    <cellStyle name="Normal 38 13" xfId="296"/>
    <cellStyle name="Normal 38 14" xfId="297"/>
    <cellStyle name="Normal 38 15" xfId="298"/>
    <cellStyle name="Normal 38 16" xfId="299"/>
    <cellStyle name="Normal 38 17" xfId="300"/>
    <cellStyle name="Normal 38 18" xfId="301"/>
    <cellStyle name="Normal 38 19" xfId="302"/>
    <cellStyle name="Normal 38 2" xfId="303"/>
    <cellStyle name="Normal 38 20" xfId="304"/>
    <cellStyle name="Normal 38 21" xfId="305"/>
    <cellStyle name="Normal 38 22" xfId="306"/>
    <cellStyle name="Normal 38 23" xfId="307"/>
    <cellStyle name="Normal 38 24" xfId="308"/>
    <cellStyle name="Normal 38 25" xfId="309"/>
    <cellStyle name="Normal 38 26" xfId="310"/>
    <cellStyle name="Normal 38 27" xfId="311"/>
    <cellStyle name="Normal 38 28" xfId="312"/>
    <cellStyle name="Normal 38 29" xfId="313"/>
    <cellStyle name="Normal 38 3" xfId="314"/>
    <cellStyle name="Normal 38 30" xfId="315"/>
    <cellStyle name="Normal 38 31" xfId="316"/>
    <cellStyle name="Normal 38 4" xfId="317"/>
    <cellStyle name="Normal 38 5" xfId="318"/>
    <cellStyle name="Normal 38 6" xfId="319"/>
    <cellStyle name="Normal 38 7" xfId="320"/>
    <cellStyle name="Normal 38 8" xfId="321"/>
    <cellStyle name="Normal 38 9" xfId="322"/>
    <cellStyle name="Normal 39" xfId="323"/>
    <cellStyle name="Normal 39 10" xfId="324"/>
    <cellStyle name="Normal 39 11" xfId="325"/>
    <cellStyle name="Normal 39 12" xfId="326"/>
    <cellStyle name="Normal 39 13" xfId="327"/>
    <cellStyle name="Normal 39 14" xfId="328"/>
    <cellStyle name="Normal 39 15" xfId="329"/>
    <cellStyle name="Normal 39 16" xfId="330"/>
    <cellStyle name="Normal 39 17" xfId="331"/>
    <cellStyle name="Normal 39 18" xfId="332"/>
    <cellStyle name="Normal 39 19" xfId="333"/>
    <cellStyle name="Normal 39 2" xfId="334"/>
    <cellStyle name="Normal 39 20" xfId="335"/>
    <cellStyle name="Normal 39 21" xfId="336"/>
    <cellStyle name="Normal 39 22" xfId="337"/>
    <cellStyle name="Normal 39 23" xfId="338"/>
    <cellStyle name="Normal 39 24" xfId="339"/>
    <cellStyle name="Normal 39 25" xfId="340"/>
    <cellStyle name="Normal 39 26" xfId="341"/>
    <cellStyle name="Normal 39 27" xfId="342"/>
    <cellStyle name="Normal 39 28" xfId="343"/>
    <cellStyle name="Normal 39 29" xfId="344"/>
    <cellStyle name="Normal 39 3" xfId="345"/>
    <cellStyle name="Normal 39 30" xfId="346"/>
    <cellStyle name="Normal 39 31" xfId="347"/>
    <cellStyle name="Normal 39 4" xfId="348"/>
    <cellStyle name="Normal 39 5" xfId="349"/>
    <cellStyle name="Normal 39 6" xfId="350"/>
    <cellStyle name="Normal 39 7" xfId="351"/>
    <cellStyle name="Normal 39 8" xfId="352"/>
    <cellStyle name="Normal 39 9" xfId="353"/>
    <cellStyle name="Normal 4" xfId="354"/>
    <cellStyle name="Normal 40" xfId="355"/>
    <cellStyle name="Normal 40 10" xfId="356"/>
    <cellStyle name="Normal 40 11" xfId="357"/>
    <cellStyle name="Normal 40 12" xfId="358"/>
    <cellStyle name="Normal 40 13" xfId="359"/>
    <cellStyle name="Normal 40 14" xfId="360"/>
    <cellStyle name="Normal 40 15" xfId="361"/>
    <cellStyle name="Normal 40 16" xfId="362"/>
    <cellStyle name="Normal 40 17" xfId="363"/>
    <cellStyle name="Normal 40 18" xfId="364"/>
    <cellStyle name="Normal 40 19" xfId="365"/>
    <cellStyle name="Normal 40 2" xfId="366"/>
    <cellStyle name="Normal 40 20" xfId="367"/>
    <cellStyle name="Normal 40 21" xfId="368"/>
    <cellStyle name="Normal 40 22" xfId="369"/>
    <cellStyle name="Normal 40 23" xfId="370"/>
    <cellStyle name="Normal 40 3" xfId="371"/>
    <cellStyle name="Normal 40 4" xfId="372"/>
    <cellStyle name="Normal 40 5" xfId="373"/>
    <cellStyle name="Normal 40 6" xfId="374"/>
    <cellStyle name="Normal 40 7" xfId="375"/>
    <cellStyle name="Normal 40 8" xfId="376"/>
    <cellStyle name="Normal 40 9" xfId="377"/>
    <cellStyle name="Normal 41" xfId="378"/>
    <cellStyle name="Normal 41 10" xfId="379"/>
    <cellStyle name="Normal 41 11" xfId="380"/>
    <cellStyle name="Normal 41 12" xfId="381"/>
    <cellStyle name="Normal 41 13" xfId="382"/>
    <cellStyle name="Normal 41 14" xfId="383"/>
    <cellStyle name="Normal 41 15" xfId="384"/>
    <cellStyle name="Normal 41 16" xfId="385"/>
    <cellStyle name="Normal 41 17" xfId="386"/>
    <cellStyle name="Normal 41 18" xfId="387"/>
    <cellStyle name="Normal 41 19" xfId="388"/>
    <cellStyle name="Normal 41 2" xfId="389"/>
    <cellStyle name="Normal 41 20" xfId="390"/>
    <cellStyle name="Normal 41 21" xfId="391"/>
    <cellStyle name="Normal 41 22" xfId="392"/>
    <cellStyle name="Normal 41 23" xfId="393"/>
    <cellStyle name="Normal 41 3" xfId="394"/>
    <cellStyle name="Normal 41 4" xfId="395"/>
    <cellStyle name="Normal 41 5" xfId="396"/>
    <cellStyle name="Normal 41 6" xfId="397"/>
    <cellStyle name="Normal 41 7" xfId="398"/>
    <cellStyle name="Normal 41 8" xfId="399"/>
    <cellStyle name="Normal 41 9" xfId="400"/>
    <cellStyle name="Normal 42" xfId="401"/>
    <cellStyle name="Normal 42 10" xfId="402"/>
    <cellStyle name="Normal 42 11" xfId="403"/>
    <cellStyle name="Normal 42 12" xfId="404"/>
    <cellStyle name="Normal 42 13" xfId="405"/>
    <cellStyle name="Normal 42 14" xfId="406"/>
    <cellStyle name="Normal 42 15" xfId="407"/>
    <cellStyle name="Normal 42 16" xfId="408"/>
    <cellStyle name="Normal 42 17" xfId="409"/>
    <cellStyle name="Normal 42 18" xfId="410"/>
    <cellStyle name="Normal 42 19" xfId="411"/>
    <cellStyle name="Normal 42 2" xfId="412"/>
    <cellStyle name="Normal 42 20" xfId="413"/>
    <cellStyle name="Normal 42 21" xfId="414"/>
    <cellStyle name="Normal 42 22" xfId="415"/>
    <cellStyle name="Normal 42 23" xfId="416"/>
    <cellStyle name="Normal 42 24" xfId="417"/>
    <cellStyle name="Normal 42 25" xfId="418"/>
    <cellStyle name="Normal 42 26" xfId="419"/>
    <cellStyle name="Normal 42 27" xfId="420"/>
    <cellStyle name="Normal 42 28" xfId="421"/>
    <cellStyle name="Normal 42 29" xfId="422"/>
    <cellStyle name="Normal 42 3" xfId="423"/>
    <cellStyle name="Normal 42 30" xfId="424"/>
    <cellStyle name="Normal 42 31" xfId="425"/>
    <cellStyle name="Normal 42 4" xfId="426"/>
    <cellStyle name="Normal 42 5" xfId="427"/>
    <cellStyle name="Normal 42 6" xfId="428"/>
    <cellStyle name="Normal 42 7" xfId="429"/>
    <cellStyle name="Normal 42 8" xfId="430"/>
    <cellStyle name="Normal 42 9" xfId="431"/>
    <cellStyle name="Normal 43" xfId="432"/>
    <cellStyle name="Normal 43 10" xfId="433"/>
    <cellStyle name="Normal 43 11" xfId="434"/>
    <cellStyle name="Normal 43 12" xfId="435"/>
    <cellStyle name="Normal 43 13" xfId="436"/>
    <cellStyle name="Normal 43 14" xfId="437"/>
    <cellStyle name="Normal 43 15" xfId="438"/>
    <cellStyle name="Normal 43 16" xfId="439"/>
    <cellStyle name="Normal 43 17" xfId="440"/>
    <cellStyle name="Normal 43 18" xfId="441"/>
    <cellStyle name="Normal 43 19" xfId="442"/>
    <cellStyle name="Normal 43 2" xfId="443"/>
    <cellStyle name="Normal 43 20" xfId="444"/>
    <cellStyle name="Normal 43 21" xfId="445"/>
    <cellStyle name="Normal 43 22" xfId="446"/>
    <cellStyle name="Normal 43 23" xfId="447"/>
    <cellStyle name="Normal 43 24" xfId="448"/>
    <cellStyle name="Normal 43 25" xfId="449"/>
    <cellStyle name="Normal 43 26" xfId="450"/>
    <cellStyle name="Normal 43 27" xfId="451"/>
    <cellStyle name="Normal 43 28" xfId="452"/>
    <cellStyle name="Normal 43 29" xfId="453"/>
    <cellStyle name="Normal 43 3" xfId="454"/>
    <cellStyle name="Normal 43 30" xfId="455"/>
    <cellStyle name="Normal 43 31" xfId="456"/>
    <cellStyle name="Normal 43 4" xfId="457"/>
    <cellStyle name="Normal 43 5" xfId="458"/>
    <cellStyle name="Normal 43 6" xfId="459"/>
    <cellStyle name="Normal 43 7" xfId="460"/>
    <cellStyle name="Normal 43 8" xfId="461"/>
    <cellStyle name="Normal 43 9" xfId="462"/>
    <cellStyle name="Normal 44" xfId="463"/>
    <cellStyle name="Normal 44 10" xfId="464"/>
    <cellStyle name="Normal 44 11" xfId="465"/>
    <cellStyle name="Normal 44 12" xfId="466"/>
    <cellStyle name="Normal 44 13" xfId="467"/>
    <cellStyle name="Normal 44 14" xfId="468"/>
    <cellStyle name="Normal 44 2" xfId="469"/>
    <cellStyle name="Normal 44 3" xfId="470"/>
    <cellStyle name="Normal 44 4" xfId="471"/>
    <cellStyle name="Normal 44 5" xfId="472"/>
    <cellStyle name="Normal 44 6" xfId="473"/>
    <cellStyle name="Normal 44 7" xfId="474"/>
    <cellStyle name="Normal 44 8" xfId="475"/>
    <cellStyle name="Normal 44 9" xfId="476"/>
    <cellStyle name="Normal 45" xfId="477"/>
    <cellStyle name="Normal 45 10" xfId="478"/>
    <cellStyle name="Normal 45 11" xfId="479"/>
    <cellStyle name="Normal 45 12" xfId="480"/>
    <cellStyle name="Normal 45 13" xfId="481"/>
    <cellStyle name="Normal 45 14" xfId="482"/>
    <cellStyle name="Normal 45 15" xfId="483"/>
    <cellStyle name="Normal 45 16" xfId="484"/>
    <cellStyle name="Normal 45 17" xfId="485"/>
    <cellStyle name="Normal 45 18" xfId="486"/>
    <cellStyle name="Normal 45 19" xfId="487"/>
    <cellStyle name="Normal 45 2" xfId="488"/>
    <cellStyle name="Normal 45 20" xfId="489"/>
    <cellStyle name="Normal 45 21" xfId="490"/>
    <cellStyle name="Normal 45 22" xfId="491"/>
    <cellStyle name="Normal 45 23" xfId="492"/>
    <cellStyle name="Normal 45 24" xfId="493"/>
    <cellStyle name="Normal 45 25" xfId="494"/>
    <cellStyle name="Normal 45 26" xfId="495"/>
    <cellStyle name="Normal 45 27" xfId="496"/>
    <cellStyle name="Normal 45 28" xfId="497"/>
    <cellStyle name="Normal 45 29" xfId="498"/>
    <cellStyle name="Normal 45 3" xfId="499"/>
    <cellStyle name="Normal 45 30" xfId="500"/>
    <cellStyle name="Normal 45 31" xfId="501"/>
    <cellStyle name="Normal 45 4" xfId="502"/>
    <cellStyle name="Normal 45 5" xfId="503"/>
    <cellStyle name="Normal 45 6" xfId="504"/>
    <cellStyle name="Normal 45 7" xfId="505"/>
    <cellStyle name="Normal 45 8" xfId="506"/>
    <cellStyle name="Normal 45 9" xfId="507"/>
    <cellStyle name="Normal 46" xfId="508"/>
    <cellStyle name="Normal 46 10" xfId="509"/>
    <cellStyle name="Normal 46 11" xfId="510"/>
    <cellStyle name="Normal 46 12" xfId="511"/>
    <cellStyle name="Normal 46 13" xfId="512"/>
    <cellStyle name="Normal 46 14" xfId="513"/>
    <cellStyle name="Normal 46 15" xfId="514"/>
    <cellStyle name="Normal 46 16" xfId="515"/>
    <cellStyle name="Normal 46 17" xfId="516"/>
    <cellStyle name="Normal 46 18" xfId="517"/>
    <cellStyle name="Normal 46 19" xfId="518"/>
    <cellStyle name="Normal 46 2" xfId="519"/>
    <cellStyle name="Normal 46 20" xfId="520"/>
    <cellStyle name="Normal 46 21" xfId="521"/>
    <cellStyle name="Normal 46 22" xfId="522"/>
    <cellStyle name="Normal 46 23" xfId="523"/>
    <cellStyle name="Normal 46 24" xfId="524"/>
    <cellStyle name="Normal 46 25" xfId="525"/>
    <cellStyle name="Normal 46 26" xfId="526"/>
    <cellStyle name="Normal 46 27" xfId="527"/>
    <cellStyle name="Normal 46 28" xfId="528"/>
    <cellStyle name="Normal 46 29" xfId="529"/>
    <cellStyle name="Normal 46 3" xfId="530"/>
    <cellStyle name="Normal 46 30" xfId="531"/>
    <cellStyle name="Normal 46 31" xfId="532"/>
    <cellStyle name="Normal 46 4" xfId="533"/>
    <cellStyle name="Normal 46 5" xfId="534"/>
    <cellStyle name="Normal 46 6" xfId="535"/>
    <cellStyle name="Normal 46 7" xfId="536"/>
    <cellStyle name="Normal 46 8" xfId="537"/>
    <cellStyle name="Normal 46 9" xfId="538"/>
    <cellStyle name="Normal 47" xfId="539"/>
    <cellStyle name="Normal 47 10" xfId="540"/>
    <cellStyle name="Normal 47 11" xfId="541"/>
    <cellStyle name="Normal 47 12" xfId="542"/>
    <cellStyle name="Normal 47 13" xfId="543"/>
    <cellStyle name="Normal 47 14" xfId="544"/>
    <cellStyle name="Normal 47 15" xfId="545"/>
    <cellStyle name="Normal 47 16" xfId="546"/>
    <cellStyle name="Normal 47 17" xfId="547"/>
    <cellStyle name="Normal 47 18" xfId="548"/>
    <cellStyle name="Normal 47 19" xfId="549"/>
    <cellStyle name="Normal 47 2" xfId="550"/>
    <cellStyle name="Normal 47 20" xfId="551"/>
    <cellStyle name="Normal 47 21" xfId="552"/>
    <cellStyle name="Normal 47 22" xfId="553"/>
    <cellStyle name="Normal 47 23" xfId="554"/>
    <cellStyle name="Normal 47 24" xfId="555"/>
    <cellStyle name="Normal 47 25" xfId="556"/>
    <cellStyle name="Normal 47 26" xfId="557"/>
    <cellStyle name="Normal 47 27" xfId="558"/>
    <cellStyle name="Normal 47 28" xfId="559"/>
    <cellStyle name="Normal 47 29" xfId="560"/>
    <cellStyle name="Normal 47 3" xfId="561"/>
    <cellStyle name="Normal 47 30" xfId="562"/>
    <cellStyle name="Normal 47 31" xfId="563"/>
    <cellStyle name="Normal 47 4" xfId="564"/>
    <cellStyle name="Normal 47 5" xfId="565"/>
    <cellStyle name="Normal 47 6" xfId="566"/>
    <cellStyle name="Normal 47 7" xfId="567"/>
    <cellStyle name="Normal 47 8" xfId="568"/>
    <cellStyle name="Normal 47 9" xfId="569"/>
    <cellStyle name="Normal 48" xfId="570"/>
    <cellStyle name="Normal 49" xfId="571"/>
    <cellStyle name="Normal 5" xfId="572"/>
    <cellStyle name="Normal 5 2" xfId="573"/>
    <cellStyle name="Normal 5 3" xfId="574"/>
    <cellStyle name="Normal 5 4" xfId="575"/>
    <cellStyle name="Normal 5 5" xfId="576"/>
    <cellStyle name="Normal 5 6" xfId="577"/>
    <cellStyle name="Normal 50" xfId="578"/>
    <cellStyle name="Normal 51" xfId="579"/>
    <cellStyle name="Normal 52" xfId="580"/>
    <cellStyle name="Normal 52 10" xfId="581"/>
    <cellStyle name="Normal 52 11" xfId="582"/>
    <cellStyle name="Normal 52 12" xfId="583"/>
    <cellStyle name="Normal 52 2" xfId="584"/>
    <cellStyle name="Normal 52 2 2" xfId="585"/>
    <cellStyle name="Normal 52 2 3" xfId="586"/>
    <cellStyle name="Normal 52 2 4" xfId="587"/>
    <cellStyle name="Normal 52 2 5" xfId="588"/>
    <cellStyle name="Normal 52 2 6" xfId="589"/>
    <cellStyle name="Normal 52 2 7" xfId="590"/>
    <cellStyle name="Normal 52 2 8" xfId="591"/>
    <cellStyle name="Normal 52 3" xfId="592"/>
    <cellStyle name="Normal 52 3 2" xfId="593"/>
    <cellStyle name="Normal 52 3 3" xfId="594"/>
    <cellStyle name="Normal 52 3 4" xfId="595"/>
    <cellStyle name="Normal 52 3 5" xfId="596"/>
    <cellStyle name="Normal 52 3 6" xfId="597"/>
    <cellStyle name="Normal 52 3 7" xfId="598"/>
    <cellStyle name="Normal 52 3 8" xfId="599"/>
    <cellStyle name="Normal 52 4" xfId="600"/>
    <cellStyle name="Normal 52 5" xfId="601"/>
    <cellStyle name="Normal 52 6" xfId="602"/>
    <cellStyle name="Normal 52 7" xfId="603"/>
    <cellStyle name="Normal 52 8" xfId="604"/>
    <cellStyle name="Normal 52 9" xfId="605"/>
    <cellStyle name="Normal 53" xfId="606"/>
    <cellStyle name="Normal 53 10" xfId="607"/>
    <cellStyle name="Normal 53 11" xfId="608"/>
    <cellStyle name="Normal 53 12" xfId="609"/>
    <cellStyle name="Normal 53 2" xfId="610"/>
    <cellStyle name="Normal 53 2 2" xfId="611"/>
    <cellStyle name="Normal 53 2 3" xfId="612"/>
    <cellStyle name="Normal 53 2 4" xfId="613"/>
    <cellStyle name="Normal 53 2 5" xfId="614"/>
    <cellStyle name="Normal 53 2 6" xfId="615"/>
    <cellStyle name="Normal 53 2 7" xfId="616"/>
    <cellStyle name="Normal 53 2 8" xfId="617"/>
    <cellStyle name="Normal 53 3" xfId="618"/>
    <cellStyle name="Normal 53 3 2" xfId="619"/>
    <cellStyle name="Normal 53 3 3" xfId="620"/>
    <cellStyle name="Normal 53 3 4" xfId="621"/>
    <cellStyle name="Normal 53 3 5" xfId="622"/>
    <cellStyle name="Normal 53 3 6" xfId="623"/>
    <cellStyle name="Normal 53 3 7" xfId="624"/>
    <cellStyle name="Normal 53 3 8" xfId="625"/>
    <cellStyle name="Normal 53 4" xfId="626"/>
    <cellStyle name="Normal 53 5" xfId="627"/>
    <cellStyle name="Normal 53 6" xfId="628"/>
    <cellStyle name="Normal 53 7" xfId="629"/>
    <cellStyle name="Normal 53 8" xfId="630"/>
    <cellStyle name="Normal 53 9" xfId="631"/>
    <cellStyle name="Normal 54" xfId="632"/>
    <cellStyle name="Normal 54 10" xfId="633"/>
    <cellStyle name="Normal 54 11" xfId="634"/>
    <cellStyle name="Normal 54 12" xfId="635"/>
    <cellStyle name="Normal 54 2" xfId="636"/>
    <cellStyle name="Normal 54 2 2" xfId="637"/>
    <cellStyle name="Normal 54 2 3" xfId="638"/>
    <cellStyle name="Normal 54 2 4" xfId="639"/>
    <cellStyle name="Normal 54 2 5" xfId="640"/>
    <cellStyle name="Normal 54 2 6" xfId="641"/>
    <cellStyle name="Normal 54 2 7" xfId="642"/>
    <cellStyle name="Normal 54 2 8" xfId="643"/>
    <cellStyle name="Normal 54 3" xfId="644"/>
    <cellStyle name="Normal 54 3 2" xfId="645"/>
    <cellStyle name="Normal 54 3 3" xfId="646"/>
    <cellStyle name="Normal 54 3 4" xfId="647"/>
    <cellStyle name="Normal 54 3 5" xfId="648"/>
    <cellStyle name="Normal 54 3 6" xfId="649"/>
    <cellStyle name="Normal 54 3 7" xfId="650"/>
    <cellStyle name="Normal 54 3 8" xfId="651"/>
    <cellStyle name="Normal 54 4" xfId="652"/>
    <cellStyle name="Normal 54 5" xfId="653"/>
    <cellStyle name="Normal 54 6" xfId="654"/>
    <cellStyle name="Normal 54 7" xfId="655"/>
    <cellStyle name="Normal 54 8" xfId="656"/>
    <cellStyle name="Normal 54 9" xfId="657"/>
    <cellStyle name="Normal 55" xfId="658"/>
    <cellStyle name="Normal 55 10" xfId="659"/>
    <cellStyle name="Normal 55 11" xfId="660"/>
    <cellStyle name="Normal 55 12" xfId="661"/>
    <cellStyle name="Normal 55 2" xfId="662"/>
    <cellStyle name="Normal 55 2 2" xfId="663"/>
    <cellStyle name="Normal 55 2 3" xfId="664"/>
    <cellStyle name="Normal 55 2 4" xfId="665"/>
    <cellStyle name="Normal 55 2 5" xfId="666"/>
    <cellStyle name="Normal 55 2 6" xfId="667"/>
    <cellStyle name="Normal 55 2 7" xfId="668"/>
    <cellStyle name="Normal 55 2 8" xfId="669"/>
    <cellStyle name="Normal 55 3" xfId="670"/>
    <cellStyle name="Normal 55 3 2" xfId="671"/>
    <cellStyle name="Normal 55 3 3" xfId="672"/>
    <cellStyle name="Normal 55 3 4" xfId="673"/>
    <cellStyle name="Normal 55 3 5" xfId="674"/>
    <cellStyle name="Normal 55 3 6" xfId="675"/>
    <cellStyle name="Normal 55 3 7" xfId="676"/>
    <cellStyle name="Normal 55 3 8" xfId="677"/>
    <cellStyle name="Normal 55 4" xfId="678"/>
    <cellStyle name="Normal 55 5" xfId="679"/>
    <cellStyle name="Normal 55 6" xfId="680"/>
    <cellStyle name="Normal 55 7" xfId="681"/>
    <cellStyle name="Normal 55 8" xfId="682"/>
    <cellStyle name="Normal 55 9" xfId="683"/>
    <cellStyle name="Normal 56" xfId="684"/>
    <cellStyle name="Normal 56 2" xfId="685"/>
    <cellStyle name="Normal 6" xfId="686"/>
    <cellStyle name="Normal 6 2" xfId="687"/>
    <cellStyle name="Normal 6 3" xfId="688"/>
    <cellStyle name="Normal 6 4" xfId="689"/>
    <cellStyle name="Normal 6 5" xfId="690"/>
    <cellStyle name="Normal 6 6" xfId="691"/>
    <cellStyle name="Normal 7" xfId="692"/>
    <cellStyle name="Normal 7 2" xfId="693"/>
    <cellStyle name="Normal 7 3" xfId="694"/>
    <cellStyle name="Normal 7 4" xfId="695"/>
    <cellStyle name="Normal 7 5" xfId="696"/>
    <cellStyle name="Normal 7 6" xfId="697"/>
    <cellStyle name="Normal 8" xfId="698"/>
    <cellStyle name="Normal 8 2" xfId="699"/>
    <cellStyle name="Normal 8 3" xfId="700"/>
    <cellStyle name="Normal 8 4" xfId="701"/>
    <cellStyle name="Normal 8 5" xfId="702"/>
    <cellStyle name="Normal 8 6" xfId="703"/>
    <cellStyle name="Normal 9" xfId="704"/>
    <cellStyle name="Normal 9 2" xfId="705"/>
    <cellStyle name="Normal 9 3" xfId="706"/>
    <cellStyle name="Normal 9 4" xfId="707"/>
    <cellStyle name="Normal 9 5" xfId="708"/>
    <cellStyle name="Normal 9 6" xfId="709"/>
    <cellStyle name="Note 1" xfId="710"/>
    <cellStyle name="Status 1" xfId="711"/>
    <cellStyle name="Text 1" xfId="712"/>
    <cellStyle name="Warning 1" xfId="7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85" zoomScaleNormal="85" workbookViewId="0">
      <selection activeCell="AD18" sqref="AD18"/>
    </sheetView>
    <sheetView workbookViewId="1"/>
  </sheetViews>
  <sheetFormatPr defaultRowHeight="15"/>
  <sheetData>
    <row r="1" spans="1:24" ht="15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thickBot="1">
      <c r="A2" s="3"/>
      <c r="B2" s="3"/>
      <c r="C2" s="3"/>
      <c r="D2" s="3"/>
      <c r="E2" s="3"/>
      <c r="F2" s="235"/>
      <c r="G2" s="235"/>
      <c r="H2" s="235"/>
      <c r="I2" s="235"/>
      <c r="J2" s="235"/>
      <c r="K2" s="23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.75" thickBot="1">
      <c r="A3" s="1129" t="s">
        <v>1</v>
      </c>
      <c r="B3" s="1130"/>
      <c r="C3" s="1130"/>
      <c r="D3" s="1130"/>
      <c r="E3" s="1131"/>
      <c r="F3" s="1132">
        <v>6112740020050</v>
      </c>
      <c r="G3" s="1133"/>
      <c r="H3" s="1134"/>
      <c r="I3" s="1151">
        <v>6112740020050</v>
      </c>
      <c r="J3" s="1152"/>
      <c r="K3" s="1153"/>
      <c r="L3" s="1108">
        <v>6112900030240</v>
      </c>
      <c r="M3" s="1109"/>
      <c r="N3" s="1110"/>
      <c r="O3" s="1123">
        <v>6112900030240</v>
      </c>
      <c r="P3" s="1124"/>
      <c r="Q3" s="1125"/>
      <c r="R3" s="1108">
        <v>6112900030240</v>
      </c>
      <c r="S3" s="1109"/>
      <c r="T3" s="1110"/>
      <c r="U3" s="1108">
        <v>6112900030220</v>
      </c>
      <c r="V3" s="1109"/>
      <c r="W3" s="1110"/>
      <c r="X3" s="255" t="s">
        <v>2</v>
      </c>
    </row>
    <row r="4" spans="1:24" ht="15.75" thickBot="1">
      <c r="A4" s="1135" t="s">
        <v>3</v>
      </c>
      <c r="B4" s="1136"/>
      <c r="C4" s="1136"/>
      <c r="D4" s="1136"/>
      <c r="E4" s="1137"/>
      <c r="F4" s="1139" t="s">
        <v>446</v>
      </c>
      <c r="G4" s="1140"/>
      <c r="H4" s="1141"/>
      <c r="I4" s="1142" t="s">
        <v>800</v>
      </c>
      <c r="J4" s="1143"/>
      <c r="K4" s="1144"/>
      <c r="L4" s="1148" t="s">
        <v>447</v>
      </c>
      <c r="M4" s="1149"/>
      <c r="N4" s="1150"/>
      <c r="O4" s="1126" t="s">
        <v>460</v>
      </c>
      <c r="P4" s="1127"/>
      <c r="Q4" s="1128"/>
      <c r="R4" s="1117" t="s">
        <v>461</v>
      </c>
      <c r="S4" s="1118"/>
      <c r="T4" s="1119"/>
      <c r="U4" s="1111" t="s">
        <v>462</v>
      </c>
      <c r="V4" s="1112"/>
      <c r="W4" s="1113"/>
      <c r="X4" s="256"/>
    </row>
    <row r="5" spans="1:24">
      <c r="A5" s="1135" t="s">
        <v>4</v>
      </c>
      <c r="B5" s="1136"/>
      <c r="C5" s="1136"/>
      <c r="D5" s="1136"/>
      <c r="E5" s="1137"/>
      <c r="F5" s="1120" t="s">
        <v>777</v>
      </c>
      <c r="G5" s="1121"/>
      <c r="H5" s="1138"/>
      <c r="I5" s="1120" t="s">
        <v>801</v>
      </c>
      <c r="J5" s="1121"/>
      <c r="K5" s="1122"/>
      <c r="L5" s="1120" t="s">
        <v>5</v>
      </c>
      <c r="M5" s="1121"/>
      <c r="N5" s="1122"/>
      <c r="O5" s="1114" t="s">
        <v>6</v>
      </c>
      <c r="P5" s="1115"/>
      <c r="Q5" s="1116"/>
      <c r="R5" s="1114" t="s">
        <v>420</v>
      </c>
      <c r="S5" s="1115"/>
      <c r="T5" s="1116"/>
      <c r="U5" s="1114" t="s">
        <v>6</v>
      </c>
      <c r="V5" s="1115"/>
      <c r="W5" s="1116"/>
      <c r="X5" s="256"/>
    </row>
    <row r="6" spans="1:24">
      <c r="A6" s="1135" t="s">
        <v>7</v>
      </c>
      <c r="B6" s="1136"/>
      <c r="C6" s="1136"/>
      <c r="D6" s="1136"/>
      <c r="E6" s="1137"/>
      <c r="F6" s="1145" t="s">
        <v>8</v>
      </c>
      <c r="G6" s="1146"/>
      <c r="H6" s="1163"/>
      <c r="I6" s="1154" t="s">
        <v>9</v>
      </c>
      <c r="J6" s="1155"/>
      <c r="K6" s="1156"/>
      <c r="L6" s="1145" t="s">
        <v>445</v>
      </c>
      <c r="M6" s="1146"/>
      <c r="N6" s="1147"/>
      <c r="O6" s="1154" t="s">
        <v>444</v>
      </c>
      <c r="P6" s="1155"/>
      <c r="Q6" s="1155"/>
      <c r="R6" s="1154" t="s">
        <v>448</v>
      </c>
      <c r="S6" s="1155"/>
      <c r="T6" s="1156"/>
      <c r="U6" s="1154" t="s">
        <v>449</v>
      </c>
      <c r="V6" s="1155"/>
      <c r="W6" s="1156"/>
      <c r="X6" s="256"/>
    </row>
    <row r="7" spans="1:24" ht="64.5" thickBot="1">
      <c r="A7" s="1164" t="s">
        <v>10</v>
      </c>
      <c r="B7" s="1165"/>
      <c r="C7" s="1165"/>
      <c r="D7" s="1165"/>
      <c r="E7" s="257" t="s">
        <v>11</v>
      </c>
      <c r="F7" s="258" t="s">
        <v>12</v>
      </c>
      <c r="G7" s="259" t="s">
        <v>13</v>
      </c>
      <c r="H7" s="260" t="s">
        <v>14</v>
      </c>
      <c r="I7" s="258" t="s">
        <v>12</v>
      </c>
      <c r="J7" s="259" t="s">
        <v>13</v>
      </c>
      <c r="K7" s="261" t="s">
        <v>14</v>
      </c>
      <c r="L7" s="258" t="s">
        <v>12</v>
      </c>
      <c r="M7" s="259" t="s">
        <v>13</v>
      </c>
      <c r="N7" s="261" t="s">
        <v>14</v>
      </c>
      <c r="O7" s="258" t="s">
        <v>12</v>
      </c>
      <c r="P7" s="259" t="s">
        <v>13</v>
      </c>
      <c r="Q7" s="261" t="s">
        <v>14</v>
      </c>
      <c r="R7" s="258" t="s">
        <v>12</v>
      </c>
      <c r="S7" s="259" t="s">
        <v>13</v>
      </c>
      <c r="T7" s="261" t="s">
        <v>14</v>
      </c>
      <c r="U7" s="258" t="s">
        <v>12</v>
      </c>
      <c r="V7" s="259" t="s">
        <v>13</v>
      </c>
      <c r="W7" s="261" t="s">
        <v>14</v>
      </c>
      <c r="X7" s="262"/>
    </row>
    <row r="8" spans="1:24">
      <c r="A8" s="1166" t="s">
        <v>15</v>
      </c>
      <c r="B8" s="1167"/>
      <c r="C8" s="1167"/>
      <c r="D8" s="1167"/>
      <c r="E8" s="1167"/>
      <c r="F8" s="1170"/>
      <c r="G8" s="1170"/>
      <c r="H8" s="1170"/>
      <c r="I8" s="1170"/>
      <c r="J8" s="1170"/>
      <c r="K8" s="1170"/>
      <c r="L8" s="1170"/>
      <c r="M8" s="1170"/>
      <c r="N8" s="1170"/>
      <c r="O8" s="1171"/>
      <c r="P8" s="1171"/>
      <c r="Q8" s="1171"/>
      <c r="R8" s="1171"/>
      <c r="S8" s="1171"/>
      <c r="T8" s="1171"/>
      <c r="U8" s="1171"/>
      <c r="V8" s="1171"/>
      <c r="W8" s="1171"/>
      <c r="X8" s="1172"/>
    </row>
    <row r="9" spans="1:24" ht="15.75" thickBot="1">
      <c r="A9" s="1168"/>
      <c r="B9" s="1169"/>
      <c r="C9" s="1169"/>
      <c r="D9" s="1169"/>
      <c r="E9" s="1169"/>
      <c r="F9" s="1173"/>
      <c r="G9" s="1173"/>
      <c r="H9" s="1173"/>
      <c r="I9" s="1171"/>
      <c r="J9" s="1171"/>
      <c r="K9" s="1171"/>
      <c r="L9" s="1171"/>
      <c r="M9" s="1171"/>
      <c r="N9" s="1171"/>
      <c r="O9" s="1171"/>
      <c r="P9" s="1171"/>
      <c r="Q9" s="1171"/>
      <c r="R9" s="1171"/>
      <c r="S9" s="1171"/>
      <c r="T9" s="1171"/>
      <c r="U9" s="1171"/>
      <c r="V9" s="1171"/>
      <c r="W9" s="1171"/>
      <c r="X9" s="1174"/>
    </row>
    <row r="10" spans="1:24" ht="30" customHeight="1" thickBot="1">
      <c r="A10" s="1175" t="s">
        <v>16</v>
      </c>
      <c r="B10" s="1176"/>
      <c r="C10" s="1176"/>
      <c r="D10" s="1176"/>
      <c r="E10" s="4" t="s">
        <v>17</v>
      </c>
      <c r="F10" s="5"/>
      <c r="G10" s="6"/>
      <c r="H10" s="998">
        <v>79.8</v>
      </c>
      <c r="I10" s="212"/>
      <c r="J10" s="215"/>
      <c r="K10" s="999">
        <v>0.2</v>
      </c>
      <c r="L10" s="212"/>
      <c r="M10" s="215"/>
      <c r="N10" s="999">
        <v>185.8</v>
      </c>
      <c r="O10" s="212"/>
      <c r="P10" s="215"/>
      <c r="Q10" s="213"/>
      <c r="R10" s="212"/>
      <c r="S10" s="215"/>
      <c r="T10" s="213"/>
      <c r="U10" s="212"/>
      <c r="V10" s="215"/>
      <c r="W10" s="213"/>
      <c r="X10" s="236">
        <f>SUM(H10:W10)</f>
        <v>265.8</v>
      </c>
    </row>
    <row r="11" spans="1:24" ht="30" customHeight="1" thickBot="1">
      <c r="A11" s="1177" t="s">
        <v>18</v>
      </c>
      <c r="B11" s="1178"/>
      <c r="C11" s="1178"/>
      <c r="D11" s="1178"/>
      <c r="E11" s="1178"/>
      <c r="F11" s="1179"/>
      <c r="G11" s="1179"/>
      <c r="H11" s="1179"/>
      <c r="I11" s="1180"/>
      <c r="J11" s="1180"/>
      <c r="K11" s="1180"/>
      <c r="L11" s="1180"/>
      <c r="M11" s="1180"/>
      <c r="N11" s="1180"/>
      <c r="O11" s="45"/>
      <c r="P11" s="45"/>
      <c r="Q11" s="45"/>
      <c r="R11" s="45"/>
      <c r="S11" s="45"/>
      <c r="T11" s="45"/>
      <c r="U11" s="45"/>
      <c r="V11" s="45"/>
      <c r="W11" s="45"/>
      <c r="X11" s="7"/>
    </row>
    <row r="12" spans="1:24">
      <c r="A12" s="1157" t="s">
        <v>19</v>
      </c>
      <c r="B12" s="1158"/>
      <c r="C12" s="1158"/>
      <c r="D12" s="1158"/>
      <c r="E12" s="8" t="s">
        <v>20</v>
      </c>
      <c r="F12" s="9"/>
      <c r="G12" s="10"/>
      <c r="H12" s="12">
        <f>'Tab8'!F26/1000</f>
        <v>0.75600000000000001</v>
      </c>
      <c r="I12" s="35"/>
      <c r="J12" s="36"/>
      <c r="K12" s="37">
        <f>'Tab8'!F36/1000</f>
        <v>0.44</v>
      </c>
      <c r="L12" s="35"/>
      <c r="M12" s="36"/>
      <c r="N12" s="37">
        <f>'Tab8'!F72/1000</f>
        <v>0.61399999999999999</v>
      </c>
      <c r="O12" s="35"/>
      <c r="P12" s="36"/>
      <c r="Q12" s="37"/>
      <c r="R12" s="35"/>
      <c r="S12" s="36"/>
      <c r="T12" s="37"/>
      <c r="U12" s="35"/>
      <c r="V12" s="36"/>
      <c r="W12" s="37"/>
      <c r="X12" s="237">
        <f>SUM(F12:W12)</f>
        <v>1.81</v>
      </c>
    </row>
    <row r="13" spans="1:24">
      <c r="A13" s="1159" t="s">
        <v>21</v>
      </c>
      <c r="B13" s="1160"/>
      <c r="C13" s="1160"/>
      <c r="D13" s="1160"/>
      <c r="E13" s="13" t="s">
        <v>20</v>
      </c>
      <c r="F13" s="14"/>
      <c r="G13" s="15"/>
      <c r="H13" s="17"/>
      <c r="I13" s="14"/>
      <c r="J13" s="15"/>
      <c r="K13" s="16"/>
      <c r="L13" s="14"/>
      <c r="M13" s="15"/>
      <c r="N13" s="16"/>
      <c r="O13" s="14"/>
      <c r="P13" s="15"/>
      <c r="Q13" s="16"/>
      <c r="R13" s="14"/>
      <c r="S13" s="15"/>
      <c r="T13" s="16"/>
      <c r="U13" s="14"/>
      <c r="V13" s="15"/>
      <c r="W13" s="16"/>
      <c r="X13" s="238"/>
    </row>
    <row r="14" spans="1:24">
      <c r="A14" s="1161" t="s">
        <v>22</v>
      </c>
      <c r="B14" s="1162"/>
      <c r="C14" s="1162"/>
      <c r="D14" s="1162"/>
      <c r="E14" s="13" t="s">
        <v>20</v>
      </c>
      <c r="F14" s="14"/>
      <c r="G14" s="15"/>
      <c r="H14" s="17">
        <f>'Tab8'!F27/1000</f>
        <v>3.5150000000000001</v>
      </c>
      <c r="I14" s="14"/>
      <c r="J14" s="15"/>
      <c r="K14" s="16"/>
      <c r="L14" s="14"/>
      <c r="M14" s="15"/>
      <c r="N14" s="16">
        <f>'Tab8'!F73/1000</f>
        <v>9.4879999999999995</v>
      </c>
      <c r="O14" s="14"/>
      <c r="P14" s="15"/>
      <c r="Q14" s="16"/>
      <c r="R14" s="14"/>
      <c r="S14" s="15"/>
      <c r="T14" s="16"/>
      <c r="U14" s="14"/>
      <c r="V14" s="15"/>
      <c r="W14" s="16"/>
      <c r="X14" s="238">
        <f>SUM(F14:W14)</f>
        <v>13.003</v>
      </c>
    </row>
    <row r="15" spans="1:24">
      <c r="A15" s="1161" t="s">
        <v>23</v>
      </c>
      <c r="B15" s="1162"/>
      <c r="C15" s="1162"/>
      <c r="D15" s="1162"/>
      <c r="E15" s="13" t="s">
        <v>24</v>
      </c>
      <c r="F15" s="14"/>
      <c r="G15" s="15"/>
      <c r="H15" s="17"/>
      <c r="I15" s="14"/>
      <c r="J15" s="15"/>
      <c r="K15" s="16"/>
      <c r="L15" s="14"/>
      <c r="M15" s="15"/>
      <c r="N15" s="16"/>
      <c r="O15" s="14"/>
      <c r="P15" s="15"/>
      <c r="Q15" s="16"/>
      <c r="R15" s="14"/>
      <c r="S15" s="15"/>
      <c r="T15" s="16"/>
      <c r="U15" s="14"/>
      <c r="V15" s="15"/>
      <c r="W15" s="16"/>
      <c r="X15" s="239"/>
    </row>
    <row r="16" spans="1:24">
      <c r="A16" s="1161" t="s">
        <v>25</v>
      </c>
      <c r="B16" s="1162"/>
      <c r="C16" s="1162"/>
      <c r="D16" s="1162"/>
      <c r="E16" s="13" t="s">
        <v>24</v>
      </c>
      <c r="F16" s="19">
        <v>2</v>
      </c>
      <c r="G16" s="20"/>
      <c r="H16" s="28">
        <v>2</v>
      </c>
      <c r="I16" s="19"/>
      <c r="J16" s="20"/>
      <c r="K16" s="18"/>
      <c r="L16" s="19">
        <f>'Tab10'!F16</f>
        <v>2</v>
      </c>
      <c r="M16" s="20"/>
      <c r="N16" s="18">
        <f>'Tab10'!F15</f>
        <v>3</v>
      </c>
      <c r="O16" s="14"/>
      <c r="P16" s="15"/>
      <c r="Q16" s="16"/>
      <c r="R16" s="14"/>
      <c r="S16" s="15"/>
      <c r="T16" s="16"/>
      <c r="U16" s="14"/>
      <c r="V16" s="15"/>
      <c r="W16" s="16"/>
      <c r="X16" s="239">
        <f>F16+H16+L16+N16</f>
        <v>9</v>
      </c>
    </row>
    <row r="17" spans="1:24" ht="15.75" thickBot="1">
      <c r="A17" s="1191" t="s">
        <v>26</v>
      </c>
      <c r="B17" s="1192"/>
      <c r="C17" s="1192"/>
      <c r="D17" s="1192"/>
      <c r="E17" s="21" t="s">
        <v>24</v>
      </c>
      <c r="F17" s="22"/>
      <c r="G17" s="23"/>
      <c r="H17" s="26"/>
      <c r="I17" s="22"/>
      <c r="J17" s="23"/>
      <c r="K17" s="24"/>
      <c r="L17" s="22"/>
      <c r="M17" s="23"/>
      <c r="N17" s="24"/>
      <c r="O17" s="22"/>
      <c r="P17" s="23"/>
      <c r="Q17" s="24"/>
      <c r="R17" s="22"/>
      <c r="S17" s="23"/>
      <c r="T17" s="24"/>
      <c r="U17" s="22"/>
      <c r="V17" s="23"/>
      <c r="W17" s="24"/>
      <c r="X17" s="239"/>
    </row>
    <row r="18" spans="1:24" ht="30" customHeight="1" thickBot="1">
      <c r="A18" s="1181" t="s">
        <v>27</v>
      </c>
      <c r="B18" s="1182"/>
      <c r="C18" s="1182"/>
      <c r="D18" s="1182"/>
      <c r="E18" s="1183"/>
      <c r="F18" s="1183"/>
      <c r="G18" s="1183"/>
      <c r="H18" s="1183"/>
      <c r="I18" s="1171"/>
      <c r="J18" s="1171"/>
      <c r="K18" s="1171"/>
      <c r="L18" s="1173"/>
      <c r="M18" s="1173"/>
      <c r="N18" s="1173"/>
      <c r="O18" s="1173"/>
      <c r="P18" s="1173"/>
      <c r="Q18" s="1173"/>
      <c r="R18" s="1173"/>
      <c r="S18" s="1173"/>
      <c r="T18" s="1173"/>
      <c r="U18" s="1173"/>
      <c r="V18" s="1173"/>
      <c r="W18" s="1173"/>
      <c r="X18" s="1184"/>
    </row>
    <row r="19" spans="1:24" ht="15.75" thickBot="1">
      <c r="A19" s="1185" t="s">
        <v>28</v>
      </c>
      <c r="B19" s="1186"/>
      <c r="C19" s="1186"/>
      <c r="D19" s="1186"/>
      <c r="E19" s="1187"/>
      <c r="F19" s="1188"/>
      <c r="G19" s="1189"/>
      <c r="H19" s="1190"/>
      <c r="I19" s="1193"/>
      <c r="J19" s="1194"/>
      <c r="K19" s="1195"/>
      <c r="L19" s="1196"/>
      <c r="M19" s="1197"/>
      <c r="N19" s="1198"/>
      <c r="O19" s="1126" t="s">
        <v>460</v>
      </c>
      <c r="P19" s="1127"/>
      <c r="Q19" s="1128"/>
      <c r="R19" s="1117" t="s">
        <v>461</v>
      </c>
      <c r="S19" s="1118"/>
      <c r="T19" s="1119"/>
      <c r="U19" s="1111" t="s">
        <v>462</v>
      </c>
      <c r="V19" s="1112"/>
      <c r="W19" s="1113"/>
      <c r="X19" s="244"/>
    </row>
    <row r="20" spans="1:24">
      <c r="A20" s="1201" t="s">
        <v>29</v>
      </c>
      <c r="B20" s="1202"/>
      <c r="C20" s="1202"/>
      <c r="D20" s="1202"/>
      <c r="E20" s="1203"/>
      <c r="F20" s="1207"/>
      <c r="G20" s="1208"/>
      <c r="H20" s="1209"/>
      <c r="I20" s="1210"/>
      <c r="J20" s="1211"/>
      <c r="K20" s="1212"/>
      <c r="L20" s="1204"/>
      <c r="M20" s="1205"/>
      <c r="N20" s="1206"/>
      <c r="O20" s="242"/>
      <c r="P20" s="234"/>
      <c r="Q20" s="243"/>
      <c r="R20" s="242"/>
      <c r="S20" s="234"/>
      <c r="T20" s="243"/>
      <c r="U20" s="242"/>
      <c r="V20" s="234"/>
      <c r="W20" s="243"/>
      <c r="X20" s="245"/>
    </row>
    <row r="21" spans="1:24">
      <c r="A21" s="1201" t="s">
        <v>30</v>
      </c>
      <c r="B21" s="1202"/>
      <c r="C21" s="1202"/>
      <c r="D21" s="1202"/>
      <c r="E21" s="1203"/>
      <c r="F21" s="1207"/>
      <c r="G21" s="1208"/>
      <c r="H21" s="1209"/>
      <c r="I21" s="1210"/>
      <c r="J21" s="1211"/>
      <c r="K21" s="1212"/>
      <c r="L21" s="1204"/>
      <c r="M21" s="1205"/>
      <c r="N21" s="1206"/>
      <c r="O21" s="242"/>
      <c r="P21" s="234"/>
      <c r="Q21" s="243"/>
      <c r="R21" s="242"/>
      <c r="S21" s="234"/>
      <c r="T21" s="243"/>
      <c r="U21" s="242"/>
      <c r="V21" s="234"/>
      <c r="W21" s="243"/>
      <c r="X21" s="246"/>
    </row>
    <row r="22" spans="1:24" s="348" customFormat="1">
      <c r="A22" s="1135" t="s">
        <v>31</v>
      </c>
      <c r="B22" s="1136"/>
      <c r="C22" s="1136"/>
      <c r="D22" s="1136"/>
      <c r="E22" s="621" t="s">
        <v>20</v>
      </c>
      <c r="F22" s="790"/>
      <c r="G22" s="791"/>
      <c r="H22" s="792"/>
      <c r="I22" s="790"/>
      <c r="J22" s="791"/>
      <c r="K22" s="793"/>
      <c r="L22" s="790"/>
      <c r="M22" s="791"/>
      <c r="N22" s="590"/>
      <c r="O22" s="591"/>
      <c r="P22" s="390"/>
      <c r="Q22" s="590">
        <f>('Tab11 TEE'!E19+'Tab11 TEE'!E29)/1000</f>
        <v>6.1079999999999997</v>
      </c>
      <c r="R22" s="591"/>
      <c r="S22" s="390"/>
      <c r="T22" s="590">
        <f>'Tab11 TEE'!E36/1000</f>
        <v>0.49199999999999999</v>
      </c>
      <c r="U22" s="591"/>
      <c r="V22" s="390"/>
      <c r="W22" s="590">
        <f>'Tab11 TEE'!E43/1000</f>
        <v>0.98099999999999998</v>
      </c>
      <c r="X22" s="592">
        <f>SUM(O22:W22)</f>
        <v>7.5809999999999995</v>
      </c>
    </row>
    <row r="23" spans="1:24" s="348" customFormat="1">
      <c r="A23" s="1135" t="s">
        <v>32</v>
      </c>
      <c r="B23" s="1136"/>
      <c r="C23" s="1136"/>
      <c r="D23" s="1136"/>
      <c r="E23" s="621" t="s">
        <v>20</v>
      </c>
      <c r="F23" s="591"/>
      <c r="G23" s="390"/>
      <c r="H23" s="593"/>
      <c r="I23" s="591"/>
      <c r="J23" s="390"/>
      <c r="K23" s="590"/>
      <c r="L23" s="591"/>
      <c r="M23" s="390"/>
      <c r="N23" s="590">
        <f>'Tab8'!F74/1000</f>
        <v>0.33</v>
      </c>
      <c r="O23" s="591"/>
      <c r="P23" s="390"/>
      <c r="Q23" s="590">
        <f>'Tab8'!F138/1000</f>
        <v>3.27</v>
      </c>
      <c r="R23" s="591"/>
      <c r="S23" s="390"/>
      <c r="T23" s="590">
        <f>'Tab8'!F153/1000</f>
        <v>0.08</v>
      </c>
      <c r="U23" s="591">
        <f>'Tab8'!F168/1000</f>
        <v>3.7999999999999999E-2</v>
      </c>
      <c r="V23" s="390"/>
      <c r="W23" s="590">
        <f>'Tab8'!F167/1000</f>
        <v>0.25900000000000001</v>
      </c>
      <c r="X23" s="592">
        <f>SUM(L23:W23)</f>
        <v>3.9769999999999999</v>
      </c>
    </row>
    <row r="24" spans="1:24" s="348" customFormat="1">
      <c r="A24" s="1135" t="s">
        <v>33</v>
      </c>
      <c r="B24" s="1136"/>
      <c r="C24" s="1136"/>
      <c r="D24" s="1136"/>
      <c r="E24" s="621" t="s">
        <v>24</v>
      </c>
      <c r="F24" s="591"/>
      <c r="G24" s="390"/>
      <c r="H24" s="593"/>
      <c r="I24" s="591"/>
      <c r="J24" s="390"/>
      <c r="K24" s="590"/>
      <c r="L24" s="702"/>
      <c r="M24" s="618"/>
      <c r="N24" s="794"/>
      <c r="O24" s="702">
        <f>Tab2b!H33+Tab2b!I33+Tab2b!H26+Tab2b!I26</f>
        <v>33</v>
      </c>
      <c r="P24" s="618"/>
      <c r="Q24" s="794"/>
      <c r="R24" s="702">
        <f>Tab2b!J26+Tab2b!J33</f>
        <v>3</v>
      </c>
      <c r="S24" s="618"/>
      <c r="U24" s="702">
        <f>Tab2b!K26+Tab2b!K33</f>
        <v>6</v>
      </c>
      <c r="W24" s="794"/>
      <c r="X24" s="795">
        <f>O24+R24+U24</f>
        <v>42</v>
      </c>
    </row>
    <row r="25" spans="1:24">
      <c r="A25" s="1201" t="s">
        <v>34</v>
      </c>
      <c r="B25" s="1202"/>
      <c r="C25" s="1202"/>
      <c r="D25" s="1202"/>
      <c r="E25" s="13" t="s">
        <v>24</v>
      </c>
      <c r="F25" s="14"/>
      <c r="G25" s="15"/>
      <c r="H25" s="17"/>
      <c r="I25" s="14"/>
      <c r="J25" s="15"/>
      <c r="K25" s="16"/>
      <c r="L25" s="19"/>
      <c r="M25" s="20"/>
      <c r="N25" s="18"/>
      <c r="O25" s="19"/>
      <c r="P25" s="20"/>
      <c r="Q25" s="18"/>
      <c r="R25" s="19"/>
      <c r="S25" s="20"/>
      <c r="T25" s="18"/>
      <c r="U25" s="19"/>
      <c r="V25" s="20"/>
      <c r="W25" s="18"/>
      <c r="X25" s="239"/>
    </row>
    <row r="26" spans="1:24">
      <c r="A26" s="1201" t="s">
        <v>35</v>
      </c>
      <c r="B26" s="1202"/>
      <c r="C26" s="1202"/>
      <c r="D26" s="1202"/>
      <c r="E26" s="13" t="s">
        <v>24</v>
      </c>
      <c r="F26" s="14"/>
      <c r="G26" s="15"/>
      <c r="H26" s="17"/>
      <c r="I26" s="14"/>
      <c r="J26" s="15"/>
      <c r="K26" s="16"/>
      <c r="L26" s="19"/>
      <c r="M26" s="20"/>
      <c r="N26" s="18"/>
      <c r="O26" s="19">
        <v>2</v>
      </c>
      <c r="P26" s="20"/>
      <c r="Q26" s="18"/>
      <c r="R26" s="19"/>
      <c r="S26" s="20"/>
      <c r="T26" s="18"/>
      <c r="U26" s="19">
        <v>1</v>
      </c>
      <c r="V26" s="20"/>
      <c r="W26" s="18"/>
      <c r="X26" s="239">
        <f>O26+U26</f>
        <v>3</v>
      </c>
    </row>
    <row r="27" spans="1:24" ht="15.75" thickBot="1">
      <c r="A27" s="1199" t="s">
        <v>36</v>
      </c>
      <c r="B27" s="1200"/>
      <c r="C27" s="1200"/>
      <c r="D27" s="1200"/>
      <c r="E27" s="21" t="s">
        <v>24</v>
      </c>
      <c r="F27" s="22"/>
      <c r="G27" s="23"/>
      <c r="H27" s="26"/>
      <c r="I27" s="22"/>
      <c r="J27" s="23"/>
      <c r="K27" s="24"/>
      <c r="L27" s="25"/>
      <c r="M27" s="29"/>
      <c r="N27" s="41"/>
      <c r="O27" s="25">
        <f>'Tab10'!G16</f>
        <v>21</v>
      </c>
      <c r="P27" s="29"/>
      <c r="Q27" s="41">
        <f>'Tab10'!G15</f>
        <v>6</v>
      </c>
      <c r="R27" s="25">
        <v>4</v>
      </c>
      <c r="S27" s="29"/>
      <c r="T27" s="41">
        <v>1</v>
      </c>
      <c r="U27" s="25">
        <v>2</v>
      </c>
      <c r="V27" s="29"/>
      <c r="W27" s="41">
        <v>1</v>
      </c>
      <c r="X27" s="239">
        <f>SUM(O27:W27)</f>
        <v>35</v>
      </c>
    </row>
    <row r="28" spans="1:24" ht="15.75" thickBot="1">
      <c r="A28" s="1181" t="s">
        <v>37</v>
      </c>
      <c r="B28" s="1182"/>
      <c r="C28" s="1182"/>
      <c r="D28" s="1182"/>
      <c r="E28" s="30"/>
      <c r="F28" s="1183"/>
      <c r="G28" s="1183"/>
      <c r="H28" s="1183"/>
      <c r="I28" s="1171"/>
      <c r="J28" s="1171"/>
      <c r="K28" s="1171"/>
      <c r="L28" s="1171"/>
      <c r="M28" s="1171"/>
      <c r="N28" s="1171"/>
      <c r="O28" s="1171"/>
      <c r="P28" s="1171"/>
      <c r="Q28" s="1171"/>
      <c r="R28" s="1171"/>
      <c r="S28" s="1171"/>
      <c r="T28" s="1171"/>
      <c r="U28" s="1171"/>
      <c r="V28" s="1171"/>
      <c r="W28" s="1171"/>
      <c r="X28" s="1184"/>
    </row>
    <row r="29" spans="1:24">
      <c r="A29" s="1185" t="s">
        <v>38</v>
      </c>
      <c r="B29" s="1186"/>
      <c r="C29" s="1186"/>
      <c r="D29" s="1186"/>
      <c r="E29" s="31" t="s">
        <v>24</v>
      </c>
      <c r="F29" s="32">
        <v>1</v>
      </c>
      <c r="G29" s="33"/>
      <c r="H29" s="727"/>
      <c r="I29" s="32"/>
      <c r="J29" s="33"/>
      <c r="K29" s="34"/>
      <c r="L29" s="844">
        <v>1</v>
      </c>
      <c r="M29" s="502"/>
      <c r="N29" s="247"/>
      <c r="O29" s="38"/>
      <c r="P29" s="39"/>
      <c r="Q29" s="247"/>
      <c r="R29" s="38"/>
      <c r="S29" s="39"/>
      <c r="T29" s="247"/>
      <c r="U29" s="38"/>
      <c r="V29" s="39"/>
      <c r="W29" s="247"/>
      <c r="X29" s="240">
        <f>SUM(F29:W29)</f>
        <v>2</v>
      </c>
    </row>
    <row r="30" spans="1:24" ht="15.75" thickBot="1">
      <c r="A30" s="1199" t="s">
        <v>39</v>
      </c>
      <c r="B30" s="1200"/>
      <c r="C30" s="1200"/>
      <c r="D30" s="1200"/>
      <c r="E30" s="40" t="s">
        <v>24</v>
      </c>
      <c r="F30" s="25"/>
      <c r="G30" s="29"/>
      <c r="H30" s="513"/>
      <c r="I30" s="25"/>
      <c r="J30" s="29"/>
      <c r="K30" s="41"/>
      <c r="L30" s="42"/>
      <c r="M30" s="43"/>
      <c r="N30" s="248"/>
      <c r="O30" s="42"/>
      <c r="P30" s="43"/>
      <c r="Q30" s="248"/>
      <c r="R30" s="42"/>
      <c r="S30" s="43"/>
      <c r="T30" s="248"/>
      <c r="U30" s="42"/>
      <c r="V30" s="43"/>
      <c r="W30" s="248"/>
      <c r="X30" s="241"/>
    </row>
    <row r="31" spans="1:24">
      <c r="A31" s="44"/>
      <c r="B31" s="44"/>
      <c r="C31" s="44"/>
      <c r="D31" s="44"/>
      <c r="E31" s="45"/>
      <c r="F31" s="46"/>
      <c r="G31" s="46"/>
      <c r="H31" s="46"/>
      <c r="I31" s="46"/>
      <c r="J31" s="46"/>
      <c r="K31" s="46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9"/>
    </row>
    <row r="32" spans="1:24">
      <c r="A32" s="1171"/>
      <c r="B32" s="1171"/>
      <c r="C32" s="1171"/>
      <c r="D32" s="1171"/>
      <c r="E32" s="50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3"/>
    </row>
    <row r="33" spans="1:24">
      <c r="A33" s="1171"/>
      <c r="B33" s="1171"/>
      <c r="C33" s="1171"/>
      <c r="D33" s="1171"/>
      <c r="E33" s="50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3"/>
    </row>
    <row r="34" spans="1:24">
      <c r="A34" s="1171"/>
      <c r="B34" s="1171"/>
      <c r="C34" s="1171"/>
      <c r="D34" s="1171"/>
      <c r="E34" s="50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3"/>
    </row>
    <row r="35" spans="1:24">
      <c r="A35" s="1171"/>
      <c r="B35" s="1171"/>
      <c r="C35" s="1171"/>
      <c r="D35" s="1171"/>
      <c r="E35" s="50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3"/>
    </row>
    <row r="36" spans="1:24">
      <c r="A36" s="1171"/>
      <c r="B36" s="1171"/>
      <c r="C36" s="1171"/>
      <c r="D36" s="1171"/>
      <c r="E36" s="5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3"/>
    </row>
    <row r="37" spans="1:24">
      <c r="A37" s="1171"/>
      <c r="B37" s="1171"/>
      <c r="C37" s="1171"/>
      <c r="D37" s="1171"/>
      <c r="E37" s="50"/>
      <c r="F37" s="52"/>
      <c r="G37" s="52"/>
      <c r="H37" s="52"/>
      <c r="I37" s="52"/>
      <c r="J37" s="52"/>
      <c r="K37" s="52"/>
      <c r="L37" s="52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3"/>
    </row>
    <row r="38" spans="1:24">
      <c r="A38" s="1171"/>
      <c r="B38" s="1171"/>
      <c r="C38" s="1171"/>
      <c r="D38" s="1171"/>
      <c r="E38" s="50"/>
      <c r="F38" s="52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3"/>
    </row>
    <row r="39" spans="1:2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</sheetData>
  <mergeCells count="74">
    <mergeCell ref="A21:E21"/>
    <mergeCell ref="A22:D22"/>
    <mergeCell ref="A20:E20"/>
    <mergeCell ref="L21:N21"/>
    <mergeCell ref="F21:H21"/>
    <mergeCell ref="F20:H20"/>
    <mergeCell ref="I21:K21"/>
    <mergeCell ref="I20:K20"/>
    <mergeCell ref="L20:N20"/>
    <mergeCell ref="A23:D23"/>
    <mergeCell ref="A24:D24"/>
    <mergeCell ref="A35:D35"/>
    <mergeCell ref="A36:D36"/>
    <mergeCell ref="A27:D27"/>
    <mergeCell ref="A25:D25"/>
    <mergeCell ref="A26:D26"/>
    <mergeCell ref="A37:D37"/>
    <mergeCell ref="A38:D38"/>
    <mergeCell ref="F28:X28"/>
    <mergeCell ref="A29:D29"/>
    <mergeCell ref="A30:D30"/>
    <mergeCell ref="A32:D32"/>
    <mergeCell ref="A34:D34"/>
    <mergeCell ref="A33:D33"/>
    <mergeCell ref="A28:D28"/>
    <mergeCell ref="A15:D15"/>
    <mergeCell ref="A16:D16"/>
    <mergeCell ref="A18:D18"/>
    <mergeCell ref="E18:X18"/>
    <mergeCell ref="A19:E19"/>
    <mergeCell ref="F19:H19"/>
    <mergeCell ref="A17:D17"/>
    <mergeCell ref="I19:K19"/>
    <mergeCell ref="L19:N19"/>
    <mergeCell ref="O19:Q19"/>
    <mergeCell ref="R19:T19"/>
    <mergeCell ref="U19:W19"/>
    <mergeCell ref="A12:D12"/>
    <mergeCell ref="A13:D13"/>
    <mergeCell ref="A14:D14"/>
    <mergeCell ref="A6:E6"/>
    <mergeCell ref="F6:H6"/>
    <mergeCell ref="A7:D7"/>
    <mergeCell ref="A8:E9"/>
    <mergeCell ref="F8:X9"/>
    <mergeCell ref="A10:D10"/>
    <mergeCell ref="A11:E11"/>
    <mergeCell ref="F11:N11"/>
    <mergeCell ref="U6:W6"/>
    <mergeCell ref="R6:T6"/>
    <mergeCell ref="O6:Q6"/>
    <mergeCell ref="L6:N6"/>
    <mergeCell ref="L3:N3"/>
    <mergeCell ref="L4:N4"/>
    <mergeCell ref="I3:K3"/>
    <mergeCell ref="I6:K6"/>
    <mergeCell ref="L5:N5"/>
    <mergeCell ref="O3:Q3"/>
    <mergeCell ref="O4:Q4"/>
    <mergeCell ref="O5:Q5"/>
    <mergeCell ref="A3:E3"/>
    <mergeCell ref="F3:H3"/>
    <mergeCell ref="A4:E4"/>
    <mergeCell ref="A5:E5"/>
    <mergeCell ref="F5:H5"/>
    <mergeCell ref="F4:H4"/>
    <mergeCell ref="I4:K4"/>
    <mergeCell ref="I5:K5"/>
    <mergeCell ref="U3:W3"/>
    <mergeCell ref="U4:W4"/>
    <mergeCell ref="U5:W5"/>
    <mergeCell ref="R5:T5"/>
    <mergeCell ref="R3:T3"/>
    <mergeCell ref="R4:T4"/>
  </mergeCells>
  <phoneticPr fontId="59" type="noConversion"/>
  <pageMargins left="0.31496062992125984" right="0" top="0.74803149606299213" bottom="0.74803149606299213" header="0.31496062992125984" footer="0.31496062992125984"/>
  <pageSetup paperSize="8" scale="67" orientation="landscape" r:id="rId1"/>
  <ignoredErrors>
    <ignoredError sqref="F5 I5 L5 O5 R5 U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topLeftCell="A4" zoomScaleNormal="100" workbookViewId="0">
      <pane ySplit="2055" activePane="bottomLeft"/>
      <selection activeCell="A3" sqref="A1:AA1048576"/>
      <selection pane="bottomLeft" activeCell="M14" sqref="M14"/>
    </sheetView>
    <sheetView topLeftCell="A4" zoomScaleNormal="100" workbookViewId="1">
      <pane ySplit="1815" activePane="bottomLeft"/>
      <selection activeCell="X46" sqref="X46"/>
      <selection pane="bottomLeft" activeCell="E44" sqref="E44"/>
    </sheetView>
  </sheetViews>
  <sheetFormatPr defaultColWidth="9.140625" defaultRowHeight="15"/>
  <cols>
    <col min="1" max="9" width="8.85546875" style="348" customWidth="1"/>
    <col min="10" max="10" width="9.140625" style="348"/>
    <col min="11" max="11" width="9.7109375" style="348" customWidth="1"/>
    <col min="12" max="22" width="8.85546875" style="348" customWidth="1"/>
    <col min="23" max="23" width="15.5703125" style="348" bestFit="1" customWidth="1"/>
    <col min="24" max="26" width="8.85546875" style="348" customWidth="1"/>
    <col min="27" max="27" width="15.5703125" style="348" bestFit="1" customWidth="1"/>
    <col min="28" max="16384" width="9.140625" style="348"/>
  </cols>
  <sheetData>
    <row r="1" spans="1:29" ht="15.75">
      <c r="A1" s="1023" t="s">
        <v>257</v>
      </c>
    </row>
    <row r="2" spans="1:29" ht="15.75" thickBot="1">
      <c r="A2" s="1529" t="s">
        <v>258</v>
      </c>
      <c r="B2" s="1529"/>
      <c r="C2" s="1529"/>
      <c r="D2" s="1529"/>
      <c r="E2" s="1529"/>
      <c r="F2" s="1529"/>
      <c r="G2" s="1529"/>
      <c r="H2" s="380"/>
      <c r="I2" s="380"/>
      <c r="J2" s="380"/>
    </row>
    <row r="3" spans="1:29" ht="15.75" thickBot="1">
      <c r="A3" s="1443" t="s">
        <v>41</v>
      </c>
      <c r="B3" s="1443" t="s">
        <v>259</v>
      </c>
      <c r="C3" s="1443" t="s">
        <v>203</v>
      </c>
      <c r="D3" s="1531" t="s">
        <v>191</v>
      </c>
      <c r="E3" s="1532"/>
      <c r="F3" s="1533" t="s">
        <v>260</v>
      </c>
      <c r="G3" s="1534"/>
      <c r="H3" s="1526" t="s">
        <v>261</v>
      </c>
      <c r="I3" s="1527"/>
      <c r="J3" s="1527"/>
      <c r="K3" s="1527"/>
      <c r="L3" s="1527"/>
      <c r="M3" s="1527"/>
      <c r="N3" s="1527"/>
      <c r="O3" s="1527"/>
      <c r="P3" s="1527"/>
      <c r="Q3" s="1527"/>
      <c r="R3" s="1527"/>
      <c r="S3" s="1527"/>
      <c r="T3" s="1527"/>
      <c r="U3" s="1527"/>
      <c r="V3" s="1528"/>
      <c r="W3" s="1524" t="s">
        <v>262</v>
      </c>
      <c r="X3" s="1525"/>
      <c r="Y3" s="1525"/>
      <c r="Z3" s="1525"/>
      <c r="AA3" s="1513" t="s">
        <v>100</v>
      </c>
    </row>
    <row r="4" spans="1:29" ht="15.75" thickBot="1">
      <c r="A4" s="1530"/>
      <c r="B4" s="1530"/>
      <c r="C4" s="1530"/>
      <c r="D4" s="1513" t="s">
        <v>202</v>
      </c>
      <c r="E4" s="1515" t="s">
        <v>263</v>
      </c>
      <c r="F4" s="1535"/>
      <c r="G4" s="1394"/>
      <c r="H4" s="1515" t="s">
        <v>264</v>
      </c>
      <c r="I4" s="1515" t="s">
        <v>265</v>
      </c>
      <c r="J4" s="1515" t="s">
        <v>266</v>
      </c>
      <c r="K4" s="1515" t="s">
        <v>267</v>
      </c>
      <c r="L4" s="1515" t="s">
        <v>268</v>
      </c>
      <c r="M4" s="1443" t="s">
        <v>206</v>
      </c>
      <c r="N4" s="1518" t="s">
        <v>269</v>
      </c>
      <c r="O4" s="1519"/>
      <c r="P4" s="1519"/>
      <c r="Q4" s="1520"/>
      <c r="R4" s="1443" t="s">
        <v>270</v>
      </c>
      <c r="S4" s="1516" t="s">
        <v>213</v>
      </c>
      <c r="T4" s="1443" t="s">
        <v>271</v>
      </c>
      <c r="U4" s="1515" t="s">
        <v>272</v>
      </c>
      <c r="V4" s="1515" t="s">
        <v>273</v>
      </c>
      <c r="W4" s="1265" t="s">
        <v>269</v>
      </c>
      <c r="X4" s="1265" t="s">
        <v>206</v>
      </c>
      <c r="Y4" s="1516" t="s">
        <v>274</v>
      </c>
      <c r="Z4" s="1515" t="s">
        <v>275</v>
      </c>
      <c r="AA4" s="1514"/>
    </row>
    <row r="5" spans="1:29" ht="56.45" customHeight="1" thickBot="1">
      <c r="A5" s="1530"/>
      <c r="B5" s="1530"/>
      <c r="C5" s="1530"/>
      <c r="D5" s="1514"/>
      <c r="E5" s="1384"/>
      <c r="F5" s="377" t="s">
        <v>276</v>
      </c>
      <c r="G5" s="381" t="s">
        <v>277</v>
      </c>
      <c r="H5" s="1384"/>
      <c r="I5" s="1384"/>
      <c r="J5" s="1384"/>
      <c r="K5" s="1384"/>
      <c r="L5" s="1384"/>
      <c r="M5" s="1444"/>
      <c r="N5" s="1521"/>
      <c r="O5" s="1522"/>
      <c r="P5" s="1522"/>
      <c r="Q5" s="1523"/>
      <c r="R5" s="1444"/>
      <c r="S5" s="1517"/>
      <c r="T5" s="1444"/>
      <c r="U5" s="1384"/>
      <c r="V5" s="1384"/>
      <c r="W5" s="1267"/>
      <c r="X5" s="1267"/>
      <c r="Y5" s="1517"/>
      <c r="Z5" s="1384"/>
      <c r="AA5" s="1514"/>
    </row>
    <row r="6" spans="1:29" ht="15.75" thickBot="1">
      <c r="A6" s="1530"/>
      <c r="B6" s="1530"/>
      <c r="C6" s="1530"/>
      <c r="D6" s="1514"/>
      <c r="E6" s="1018" t="s">
        <v>278</v>
      </c>
      <c r="F6" s="1018" t="s">
        <v>279</v>
      </c>
      <c r="G6" s="1018" t="s">
        <v>280</v>
      </c>
      <c r="H6" s="1018" t="s">
        <v>65</v>
      </c>
      <c r="I6" s="1018" t="s">
        <v>65</v>
      </c>
      <c r="J6" s="1018" t="s">
        <v>281</v>
      </c>
      <c r="K6" s="1018" t="s">
        <v>65</v>
      </c>
      <c r="L6" s="1018" t="s">
        <v>65</v>
      </c>
      <c r="M6" s="1018" t="s">
        <v>65</v>
      </c>
      <c r="N6" s="1521"/>
      <c r="O6" s="1522"/>
      <c r="P6" s="1522"/>
      <c r="Q6" s="1523"/>
      <c r="R6" s="1018" t="s">
        <v>282</v>
      </c>
      <c r="S6" s="1018" t="s">
        <v>282</v>
      </c>
      <c r="T6" s="1018"/>
      <c r="U6" s="382" t="s">
        <v>24</v>
      </c>
      <c r="V6" s="1018" t="s">
        <v>65</v>
      </c>
      <c r="W6" s="1018" t="s">
        <v>283</v>
      </c>
      <c r="X6" s="1018" t="s">
        <v>65</v>
      </c>
      <c r="Y6" s="1018" t="s">
        <v>282</v>
      </c>
      <c r="Z6" s="1018" t="s">
        <v>282</v>
      </c>
      <c r="AA6" s="1514"/>
    </row>
    <row r="7" spans="1:29" ht="15.75" thickBot="1">
      <c r="A7" s="378" t="s">
        <v>45</v>
      </c>
      <c r="B7" s="379" t="s">
        <v>46</v>
      </c>
      <c r="C7" s="379" t="s">
        <v>47</v>
      </c>
      <c r="D7" s="379" t="s">
        <v>48</v>
      </c>
      <c r="E7" s="1022" t="s">
        <v>49</v>
      </c>
      <c r="F7" s="1024" t="s">
        <v>50</v>
      </c>
      <c r="G7" s="379" t="s">
        <v>51</v>
      </c>
      <c r="H7" s="379" t="s">
        <v>52</v>
      </c>
      <c r="I7" s="379" t="s">
        <v>53</v>
      </c>
      <c r="J7" s="379" t="s">
        <v>229</v>
      </c>
      <c r="K7" s="379" t="s">
        <v>230</v>
      </c>
      <c r="L7" s="1022" t="s">
        <v>231</v>
      </c>
      <c r="M7" s="1022" t="s">
        <v>232</v>
      </c>
      <c r="N7" s="1538" t="s">
        <v>233</v>
      </c>
      <c r="O7" s="1538"/>
      <c r="P7" s="1538"/>
      <c r="Q7" s="1538"/>
      <c r="R7" s="379" t="s">
        <v>234</v>
      </c>
      <c r="S7" s="379" t="s">
        <v>235</v>
      </c>
      <c r="T7" s="379" t="s">
        <v>236</v>
      </c>
      <c r="U7" s="379" t="s">
        <v>237</v>
      </c>
      <c r="V7" s="379" t="s">
        <v>238</v>
      </c>
      <c r="W7" s="379" t="s">
        <v>239</v>
      </c>
      <c r="X7" s="379" t="s">
        <v>240</v>
      </c>
      <c r="Y7" s="379" t="s">
        <v>241</v>
      </c>
      <c r="Z7" s="1022" t="s">
        <v>242</v>
      </c>
      <c r="AA7" s="1025" t="s">
        <v>243</v>
      </c>
    </row>
    <row r="8" spans="1:29">
      <c r="A8" s="1046">
        <v>1</v>
      </c>
      <c r="B8" s="1047" t="s">
        <v>659</v>
      </c>
      <c r="C8" s="1047" t="s">
        <v>449</v>
      </c>
      <c r="D8" s="1047">
        <v>428</v>
      </c>
      <c r="E8" s="1047">
        <v>0.22</v>
      </c>
      <c r="F8" s="1047">
        <v>170</v>
      </c>
      <c r="G8" s="1047">
        <f t="shared" ref="G8:G20" si="0">E8*F8</f>
        <v>37.4</v>
      </c>
      <c r="H8" s="1047" t="s">
        <v>642</v>
      </c>
      <c r="I8" s="1047">
        <v>6</v>
      </c>
      <c r="J8" s="1047">
        <v>77.12</v>
      </c>
      <c r="K8" s="1047">
        <v>75.930000000000007</v>
      </c>
      <c r="L8" s="1047">
        <f t="shared" ref="L8:L20" si="1">J8-K8</f>
        <v>1.1899999999999977</v>
      </c>
      <c r="M8" s="1048">
        <v>10</v>
      </c>
      <c r="N8" s="1046">
        <v>40</v>
      </c>
      <c r="O8" s="1047" t="s">
        <v>284</v>
      </c>
      <c r="P8" s="1047">
        <v>10</v>
      </c>
      <c r="Q8" s="1050" t="s">
        <v>287</v>
      </c>
      <c r="R8" s="1019"/>
      <c r="S8" s="1047"/>
      <c r="T8" s="1047">
        <v>14</v>
      </c>
      <c r="U8" s="1047">
        <v>2</v>
      </c>
      <c r="V8" s="1047"/>
      <c r="W8" s="1047" t="s">
        <v>452</v>
      </c>
      <c r="X8" s="1047">
        <v>8</v>
      </c>
      <c r="Y8" s="1047">
        <v>1</v>
      </c>
      <c r="Z8" s="671">
        <f t="shared" ref="Z8:Z20" si="2">X8</f>
        <v>8</v>
      </c>
      <c r="AA8" s="712" t="s">
        <v>673</v>
      </c>
      <c r="AC8" s="1053" t="s">
        <v>648</v>
      </c>
    </row>
    <row r="9" spans="1:29">
      <c r="A9" s="1047">
        <v>2</v>
      </c>
      <c r="B9" s="1047" t="s">
        <v>660</v>
      </c>
      <c r="C9" s="1047" t="s">
        <v>448</v>
      </c>
      <c r="D9" s="1047">
        <v>1000</v>
      </c>
      <c r="E9" s="1047">
        <v>0.01</v>
      </c>
      <c r="F9" s="1047">
        <v>170</v>
      </c>
      <c r="G9" s="1047">
        <f t="shared" si="0"/>
        <v>1.7</v>
      </c>
      <c r="H9" s="1047" t="s">
        <v>655</v>
      </c>
      <c r="I9" s="1047">
        <v>6</v>
      </c>
      <c r="J9" s="1047">
        <v>77.569999999999993</v>
      </c>
      <c r="K9" s="1047">
        <v>75.62</v>
      </c>
      <c r="L9" s="1047">
        <f t="shared" si="1"/>
        <v>1.9499999999999886</v>
      </c>
      <c r="M9" s="1048">
        <v>12</v>
      </c>
      <c r="N9" s="1046">
        <v>40</v>
      </c>
      <c r="O9" s="1047" t="s">
        <v>284</v>
      </c>
      <c r="P9" s="1047">
        <f t="shared" ref="P9:P20" si="3">M9</f>
        <v>12</v>
      </c>
      <c r="Q9" s="713" t="s">
        <v>287</v>
      </c>
      <c r="R9" s="1047"/>
      <c r="S9" s="668">
        <v>10</v>
      </c>
      <c r="T9" s="386">
        <v>14</v>
      </c>
      <c r="U9" s="1047">
        <v>2</v>
      </c>
      <c r="V9" s="1047"/>
      <c r="W9" s="1060" t="s">
        <v>450</v>
      </c>
      <c r="X9" s="1047">
        <v>7</v>
      </c>
      <c r="Y9" s="1047">
        <v>1</v>
      </c>
      <c r="Z9" s="671">
        <f t="shared" si="2"/>
        <v>7</v>
      </c>
      <c r="AA9" s="1053" t="s">
        <v>649</v>
      </c>
    </row>
    <row r="10" spans="1:29">
      <c r="A10" s="1047">
        <v>3</v>
      </c>
      <c r="B10" s="1047" t="s">
        <v>661</v>
      </c>
      <c r="C10" s="1047" t="s">
        <v>441</v>
      </c>
      <c r="D10" s="1047">
        <v>600</v>
      </c>
      <c r="E10" s="1047">
        <v>1.0900000000000001</v>
      </c>
      <c r="F10" s="1047">
        <v>170</v>
      </c>
      <c r="G10" s="1047">
        <f t="shared" si="0"/>
        <v>185.3</v>
      </c>
      <c r="H10" s="1047" t="s">
        <v>656</v>
      </c>
      <c r="I10" s="1047">
        <v>6</v>
      </c>
      <c r="J10" s="388">
        <v>74.06</v>
      </c>
      <c r="K10" s="388">
        <v>72.88</v>
      </c>
      <c r="L10" s="1047">
        <f t="shared" si="1"/>
        <v>1.1800000000000068</v>
      </c>
      <c r="M10" s="1048">
        <v>10</v>
      </c>
      <c r="N10" s="1046">
        <v>60</v>
      </c>
      <c r="O10" s="1047" t="s">
        <v>284</v>
      </c>
      <c r="P10" s="1047">
        <f t="shared" si="3"/>
        <v>10</v>
      </c>
      <c r="Q10" s="671" t="s">
        <v>285</v>
      </c>
      <c r="R10" s="1047"/>
      <c r="S10" s="668">
        <v>10</v>
      </c>
      <c r="T10" s="386">
        <v>14</v>
      </c>
      <c r="U10" s="1047"/>
      <c r="V10" s="1047"/>
      <c r="W10" s="1047" t="s">
        <v>454</v>
      </c>
      <c r="X10" s="1047">
        <v>9</v>
      </c>
      <c r="Y10" s="1047">
        <v>1.5</v>
      </c>
      <c r="Z10" s="671">
        <f t="shared" si="2"/>
        <v>9</v>
      </c>
      <c r="AA10" s="1053"/>
    </row>
    <row r="11" spans="1:29">
      <c r="A11" s="1047">
        <v>4</v>
      </c>
      <c r="B11" s="1047" t="s">
        <v>662</v>
      </c>
      <c r="C11" s="1047" t="s">
        <v>444</v>
      </c>
      <c r="D11" s="1047">
        <v>622</v>
      </c>
      <c r="E11" s="1047">
        <v>0.09</v>
      </c>
      <c r="F11" s="1047">
        <v>170</v>
      </c>
      <c r="G11" s="1047">
        <f t="shared" si="0"/>
        <v>15.299999999999999</v>
      </c>
      <c r="H11" s="1047">
        <v>0</v>
      </c>
      <c r="I11" s="733">
        <v>4.5</v>
      </c>
      <c r="J11" s="1047">
        <v>75.349999999999994</v>
      </c>
      <c r="K11" s="1047">
        <v>74.260000000000005</v>
      </c>
      <c r="L11" s="1047">
        <f t="shared" si="1"/>
        <v>1.0899999999999892</v>
      </c>
      <c r="M11" s="1048">
        <v>8</v>
      </c>
      <c r="N11" s="667">
        <v>40</v>
      </c>
      <c r="O11" s="1047" t="s">
        <v>284</v>
      </c>
      <c r="P11" s="1047">
        <f t="shared" si="3"/>
        <v>8</v>
      </c>
      <c r="Q11" s="713" t="s">
        <v>287</v>
      </c>
      <c r="R11" s="1047"/>
      <c r="S11" s="668">
        <v>10</v>
      </c>
      <c r="T11" s="1047">
        <v>14</v>
      </c>
      <c r="U11" s="1047">
        <v>2</v>
      </c>
      <c r="V11" s="1047"/>
      <c r="W11" s="1060" t="s">
        <v>286</v>
      </c>
      <c r="X11" s="1047">
        <v>8</v>
      </c>
      <c r="Y11" s="1047">
        <v>1</v>
      </c>
      <c r="Z11" s="671">
        <f t="shared" si="2"/>
        <v>8</v>
      </c>
      <c r="AA11" s="1053" t="s">
        <v>648</v>
      </c>
    </row>
    <row r="12" spans="1:29">
      <c r="A12" s="1046">
        <v>5</v>
      </c>
      <c r="B12" s="1047" t="s">
        <v>663</v>
      </c>
      <c r="C12" s="1047" t="s">
        <v>441</v>
      </c>
      <c r="D12" s="1047">
        <v>619</v>
      </c>
      <c r="E12" s="1047">
        <v>0.01</v>
      </c>
      <c r="F12" s="1047">
        <v>5</v>
      </c>
      <c r="G12" s="1047">
        <f t="shared" si="0"/>
        <v>0.05</v>
      </c>
      <c r="H12" s="1047" t="s">
        <v>621</v>
      </c>
      <c r="I12" s="1047">
        <v>6</v>
      </c>
      <c r="J12" s="1047">
        <v>75.38</v>
      </c>
      <c r="K12" s="1047">
        <v>74.22</v>
      </c>
      <c r="L12" s="1047">
        <f t="shared" si="1"/>
        <v>1.1599999999999966</v>
      </c>
      <c r="M12" s="1048">
        <v>10</v>
      </c>
      <c r="N12" s="667">
        <v>40</v>
      </c>
      <c r="O12" s="1047" t="s">
        <v>284</v>
      </c>
      <c r="P12" s="1047">
        <f t="shared" si="3"/>
        <v>10</v>
      </c>
      <c r="Q12" s="1050" t="s">
        <v>288</v>
      </c>
      <c r="R12" s="1047"/>
      <c r="S12" s="1047"/>
      <c r="T12" s="386">
        <v>14</v>
      </c>
      <c r="U12" s="1047"/>
      <c r="V12" s="1047"/>
      <c r="W12" s="1060" t="s">
        <v>453</v>
      </c>
      <c r="X12" s="1047">
        <v>6</v>
      </c>
      <c r="Y12" s="1047">
        <v>1</v>
      </c>
      <c r="Z12" s="671">
        <f t="shared" si="2"/>
        <v>6</v>
      </c>
      <c r="AA12" s="1053"/>
    </row>
    <row r="13" spans="1:29">
      <c r="A13" s="1047">
        <v>6</v>
      </c>
      <c r="B13" s="1047" t="s">
        <v>664</v>
      </c>
      <c r="C13" s="1047" t="s">
        <v>441</v>
      </c>
      <c r="D13" s="1047">
        <v>616</v>
      </c>
      <c r="E13" s="1047">
        <v>0.39</v>
      </c>
      <c r="F13" s="1047">
        <v>170</v>
      </c>
      <c r="G13" s="1047">
        <f t="shared" si="0"/>
        <v>66.3</v>
      </c>
      <c r="H13" s="1047" t="s">
        <v>657</v>
      </c>
      <c r="I13" s="1047">
        <v>6</v>
      </c>
      <c r="J13" s="389">
        <v>72.739999999999995</v>
      </c>
      <c r="K13" s="389">
        <v>71.66</v>
      </c>
      <c r="L13" s="389">
        <f t="shared" si="1"/>
        <v>1.0799999999999983</v>
      </c>
      <c r="M13" s="1048">
        <v>10</v>
      </c>
      <c r="N13" s="667">
        <v>40</v>
      </c>
      <c r="O13" s="1047" t="s">
        <v>284</v>
      </c>
      <c r="P13" s="1047">
        <f t="shared" si="3"/>
        <v>10</v>
      </c>
      <c r="Q13" s="1050" t="s">
        <v>288</v>
      </c>
      <c r="R13" s="1047"/>
      <c r="S13" s="1047"/>
      <c r="T13" s="386">
        <v>14</v>
      </c>
      <c r="U13" s="1047"/>
      <c r="V13" s="1047"/>
      <c r="W13" s="1060" t="s">
        <v>453</v>
      </c>
      <c r="X13" s="1047">
        <v>6</v>
      </c>
      <c r="Y13" s="1047">
        <v>1</v>
      </c>
      <c r="Z13" s="671">
        <f t="shared" si="2"/>
        <v>6</v>
      </c>
      <c r="AA13" s="1053"/>
    </row>
    <row r="14" spans="1:29">
      <c r="A14" s="1047">
        <v>7</v>
      </c>
      <c r="B14" s="1047" t="s">
        <v>665</v>
      </c>
      <c r="C14" s="614" t="s">
        <v>444</v>
      </c>
      <c r="D14" s="1047">
        <v>600</v>
      </c>
      <c r="E14" s="1047">
        <v>3.22</v>
      </c>
      <c r="F14" s="1047">
        <v>170</v>
      </c>
      <c r="G14" s="1047">
        <f t="shared" si="0"/>
        <v>547.4</v>
      </c>
      <c r="H14" s="1047" t="s">
        <v>616</v>
      </c>
      <c r="I14" s="1047">
        <v>4.5</v>
      </c>
      <c r="J14" s="1047">
        <v>73.03</v>
      </c>
      <c r="K14" s="1047">
        <v>71.41</v>
      </c>
      <c r="L14" s="1047">
        <f t="shared" si="1"/>
        <v>1.6200000000000045</v>
      </c>
      <c r="M14" s="1048">
        <v>12</v>
      </c>
      <c r="N14" s="1046">
        <v>100</v>
      </c>
      <c r="O14" s="1047" t="s">
        <v>284</v>
      </c>
      <c r="P14" s="1047">
        <f t="shared" si="3"/>
        <v>12</v>
      </c>
      <c r="Q14" s="713" t="s">
        <v>287</v>
      </c>
      <c r="R14" s="1047"/>
      <c r="S14" s="1047"/>
      <c r="T14" s="386">
        <v>14</v>
      </c>
      <c r="U14" s="1047">
        <v>2</v>
      </c>
      <c r="V14" s="1047"/>
      <c r="W14" s="1047" t="s">
        <v>675</v>
      </c>
      <c r="X14" s="1047">
        <v>8</v>
      </c>
      <c r="Y14" s="1047">
        <v>2</v>
      </c>
      <c r="Z14" s="671">
        <f t="shared" si="2"/>
        <v>8</v>
      </c>
      <c r="AA14" s="1053" t="s">
        <v>648</v>
      </c>
    </row>
    <row r="15" spans="1:29">
      <c r="A15" s="1047">
        <v>8</v>
      </c>
      <c r="B15" s="1047" t="s">
        <v>666</v>
      </c>
      <c r="C15" s="1047" t="s">
        <v>444</v>
      </c>
      <c r="D15" s="1047">
        <v>904</v>
      </c>
      <c r="E15" s="1047">
        <v>0.01</v>
      </c>
      <c r="F15" s="1047">
        <v>170</v>
      </c>
      <c r="G15" s="1047">
        <f t="shared" si="0"/>
        <v>1.7</v>
      </c>
      <c r="H15" s="1047" t="s">
        <v>614</v>
      </c>
      <c r="I15" s="1047">
        <v>4.5</v>
      </c>
      <c r="J15" s="1047">
        <v>73.260000000000005</v>
      </c>
      <c r="K15" s="1047">
        <v>71.53</v>
      </c>
      <c r="L15" s="1047">
        <f t="shared" si="1"/>
        <v>1.730000000000004</v>
      </c>
      <c r="M15" s="1048">
        <v>12</v>
      </c>
      <c r="N15" s="667">
        <v>40</v>
      </c>
      <c r="O15" s="1047" t="s">
        <v>284</v>
      </c>
      <c r="P15" s="1047">
        <f t="shared" si="3"/>
        <v>12</v>
      </c>
      <c r="Q15" s="671" t="s">
        <v>285</v>
      </c>
      <c r="R15" s="1047"/>
      <c r="S15" s="668">
        <v>10</v>
      </c>
      <c r="T15" s="1047">
        <v>14</v>
      </c>
      <c r="U15" s="1047"/>
      <c r="V15" s="1047"/>
      <c r="W15" s="1047" t="s">
        <v>455</v>
      </c>
      <c r="X15" s="1047">
        <v>6</v>
      </c>
      <c r="Y15" s="1047"/>
      <c r="Z15" s="671">
        <f t="shared" si="2"/>
        <v>6</v>
      </c>
      <c r="AA15" s="1053" t="s">
        <v>648</v>
      </c>
    </row>
    <row r="16" spans="1:29">
      <c r="A16" s="1046">
        <v>9</v>
      </c>
      <c r="B16" s="1047" t="s">
        <v>667</v>
      </c>
      <c r="C16" s="614" t="s">
        <v>444</v>
      </c>
      <c r="D16" s="1047">
        <v>648</v>
      </c>
      <c r="E16" s="1047">
        <v>0.15</v>
      </c>
      <c r="F16" s="1047">
        <v>170</v>
      </c>
      <c r="G16" s="1047">
        <f t="shared" si="0"/>
        <v>25.5</v>
      </c>
      <c r="H16" s="1047" t="s">
        <v>610</v>
      </c>
      <c r="I16" s="1047">
        <v>4.5</v>
      </c>
      <c r="J16" s="1047">
        <v>74.12</v>
      </c>
      <c r="K16" s="1047">
        <v>73.010000000000005</v>
      </c>
      <c r="L16" s="390">
        <f t="shared" si="1"/>
        <v>1.1099999999999994</v>
      </c>
      <c r="M16" s="1048">
        <v>10</v>
      </c>
      <c r="N16" s="667">
        <v>40</v>
      </c>
      <c r="O16" s="1047" t="s">
        <v>284</v>
      </c>
      <c r="P16" s="1047">
        <f t="shared" si="3"/>
        <v>10</v>
      </c>
      <c r="Q16" s="713" t="s">
        <v>287</v>
      </c>
      <c r="R16" s="1047"/>
      <c r="S16" s="668">
        <v>10</v>
      </c>
      <c r="T16" s="1047">
        <v>14</v>
      </c>
      <c r="U16" s="1047">
        <v>2</v>
      </c>
      <c r="V16" s="1047"/>
      <c r="W16" s="1047" t="s">
        <v>456</v>
      </c>
      <c r="X16" s="1047">
        <v>8</v>
      </c>
      <c r="Y16" s="1047">
        <v>1.5</v>
      </c>
      <c r="Z16" s="671">
        <f t="shared" si="2"/>
        <v>8</v>
      </c>
      <c r="AA16" s="1053" t="s">
        <v>648</v>
      </c>
    </row>
    <row r="17" spans="1:27">
      <c r="A17" s="1047">
        <v>10</v>
      </c>
      <c r="B17" s="614" t="s">
        <v>668</v>
      </c>
      <c r="C17" s="614" t="s">
        <v>444</v>
      </c>
      <c r="D17" s="1047">
        <v>909</v>
      </c>
      <c r="E17" s="1047">
        <v>0.01</v>
      </c>
      <c r="F17" s="1047">
        <v>170</v>
      </c>
      <c r="G17" s="1047">
        <f t="shared" si="0"/>
        <v>1.7</v>
      </c>
      <c r="H17" s="1047">
        <v>0</v>
      </c>
      <c r="I17" s="1047">
        <v>4.5</v>
      </c>
      <c r="J17" s="1047">
        <v>74.28</v>
      </c>
      <c r="K17" s="1047">
        <v>73.19</v>
      </c>
      <c r="L17" s="390">
        <f t="shared" si="1"/>
        <v>1.0900000000000034</v>
      </c>
      <c r="M17" s="1048">
        <v>12</v>
      </c>
      <c r="N17" s="667">
        <v>40</v>
      </c>
      <c r="O17" s="1047" t="s">
        <v>284</v>
      </c>
      <c r="P17" s="1047">
        <f t="shared" si="3"/>
        <v>12</v>
      </c>
      <c r="Q17" s="713" t="s">
        <v>287</v>
      </c>
      <c r="R17" s="1047"/>
      <c r="S17" s="668">
        <v>10</v>
      </c>
      <c r="T17" s="386">
        <v>14</v>
      </c>
      <c r="U17" s="1047">
        <v>2</v>
      </c>
      <c r="V17" s="1047"/>
      <c r="W17" s="1047" t="s">
        <v>450</v>
      </c>
      <c r="X17" s="1047">
        <v>7</v>
      </c>
      <c r="Y17" s="1047">
        <v>1</v>
      </c>
      <c r="Z17" s="671">
        <f t="shared" si="2"/>
        <v>7</v>
      </c>
      <c r="AA17" s="1053" t="s">
        <v>648</v>
      </c>
    </row>
    <row r="18" spans="1:27">
      <c r="A18" s="1047">
        <v>11</v>
      </c>
      <c r="B18" s="1047" t="s">
        <v>669</v>
      </c>
      <c r="C18" s="1047" t="s">
        <v>159</v>
      </c>
      <c r="D18" s="1047">
        <v>110</v>
      </c>
      <c r="E18" s="1047">
        <v>0.28999999999999998</v>
      </c>
      <c r="F18" s="1047">
        <v>170</v>
      </c>
      <c r="G18" s="1047">
        <f t="shared" si="0"/>
        <v>49.3</v>
      </c>
      <c r="H18" s="1047">
        <v>0</v>
      </c>
      <c r="I18" s="1047">
        <v>6</v>
      </c>
      <c r="J18" s="1047">
        <v>72.47</v>
      </c>
      <c r="K18" s="1047">
        <v>71.48</v>
      </c>
      <c r="L18" s="390">
        <f t="shared" si="1"/>
        <v>0.98999999999999488</v>
      </c>
      <c r="M18" s="1048">
        <v>10</v>
      </c>
      <c r="N18" s="1046">
        <v>50</v>
      </c>
      <c r="O18" s="1047" t="s">
        <v>284</v>
      </c>
      <c r="P18" s="1047">
        <f t="shared" si="3"/>
        <v>10</v>
      </c>
      <c r="Q18" s="1050" t="s">
        <v>288</v>
      </c>
      <c r="R18" s="1047"/>
      <c r="S18" s="1047"/>
      <c r="T18" s="1047">
        <v>14</v>
      </c>
      <c r="U18" s="1047"/>
      <c r="V18" s="1047"/>
      <c r="W18" s="1060" t="s">
        <v>453</v>
      </c>
      <c r="X18" s="1047">
        <v>6</v>
      </c>
      <c r="Y18" s="1047">
        <v>1</v>
      </c>
      <c r="Z18" s="671">
        <f t="shared" si="2"/>
        <v>6</v>
      </c>
      <c r="AA18" s="1053"/>
    </row>
    <row r="19" spans="1:27">
      <c r="A19" s="1047">
        <v>12</v>
      </c>
      <c r="B19" s="1047" t="s">
        <v>670</v>
      </c>
      <c r="C19" s="614" t="s">
        <v>444</v>
      </c>
      <c r="D19" s="1047">
        <v>100</v>
      </c>
      <c r="E19" s="1047">
        <v>0.65</v>
      </c>
      <c r="F19" s="1047">
        <v>170</v>
      </c>
      <c r="G19" s="1047">
        <f t="shared" si="0"/>
        <v>110.5</v>
      </c>
      <c r="H19" s="1047" t="s">
        <v>611</v>
      </c>
      <c r="I19" s="1047">
        <v>4.5</v>
      </c>
      <c r="J19" s="390">
        <v>72.2</v>
      </c>
      <c r="K19" s="1047">
        <v>70.400000000000006</v>
      </c>
      <c r="L19" s="390">
        <f t="shared" si="1"/>
        <v>1.7999999999999972</v>
      </c>
      <c r="M19" s="1048">
        <v>12</v>
      </c>
      <c r="N19" s="1046">
        <v>60</v>
      </c>
      <c r="O19" s="1047" t="s">
        <v>284</v>
      </c>
      <c r="P19" s="1047">
        <f t="shared" si="3"/>
        <v>12</v>
      </c>
      <c r="Q19" s="713" t="s">
        <v>287</v>
      </c>
      <c r="R19" s="1047"/>
      <c r="S19" s="668">
        <v>10</v>
      </c>
      <c r="T19" s="386">
        <v>14</v>
      </c>
      <c r="U19" s="1047">
        <v>2</v>
      </c>
      <c r="V19" s="1047"/>
      <c r="W19" s="1047" t="s">
        <v>457</v>
      </c>
      <c r="X19" s="1047">
        <v>5</v>
      </c>
      <c r="Y19" s="1047">
        <v>1</v>
      </c>
      <c r="Z19" s="671">
        <f t="shared" si="2"/>
        <v>5</v>
      </c>
      <c r="AA19" s="1053" t="s">
        <v>648</v>
      </c>
    </row>
    <row r="20" spans="1:27" ht="15.75" thickBot="1">
      <c r="A20" s="1046">
        <v>13</v>
      </c>
      <c r="B20" s="1060" t="s">
        <v>671</v>
      </c>
      <c r="C20" s="1060" t="s">
        <v>159</v>
      </c>
      <c r="D20" s="1060">
        <v>100</v>
      </c>
      <c r="E20" s="1060">
        <v>0.13</v>
      </c>
      <c r="F20" s="1060">
        <v>170</v>
      </c>
      <c r="G20" s="1060">
        <f t="shared" si="0"/>
        <v>22.1</v>
      </c>
      <c r="H20" s="1060">
        <v>0</v>
      </c>
      <c r="I20" s="1060">
        <v>6</v>
      </c>
      <c r="J20" s="1060">
        <v>72.63</v>
      </c>
      <c r="K20" s="1060">
        <v>71.83</v>
      </c>
      <c r="L20" s="479">
        <f t="shared" si="1"/>
        <v>0.79999999999999716</v>
      </c>
      <c r="M20" s="1020">
        <v>10</v>
      </c>
      <c r="N20" s="1059">
        <v>40</v>
      </c>
      <c r="O20" s="1060" t="s">
        <v>284</v>
      </c>
      <c r="P20" s="1060">
        <f t="shared" si="3"/>
        <v>10</v>
      </c>
      <c r="Q20" s="1061" t="s">
        <v>285</v>
      </c>
      <c r="R20" s="1060"/>
      <c r="S20" s="647">
        <v>10</v>
      </c>
      <c r="T20" s="1060">
        <v>14</v>
      </c>
      <c r="U20" s="1060"/>
      <c r="V20" s="1060"/>
      <c r="W20" s="1060" t="s">
        <v>458</v>
      </c>
      <c r="X20" s="1060">
        <v>5</v>
      </c>
      <c r="Y20" s="1060">
        <v>1</v>
      </c>
      <c r="Z20" s="693">
        <f t="shared" si="2"/>
        <v>5</v>
      </c>
      <c r="AA20" s="1062" t="s">
        <v>674</v>
      </c>
    </row>
    <row r="21" spans="1:27" ht="15.75" thickBot="1">
      <c r="A21" s="1536" t="s">
        <v>2</v>
      </c>
      <c r="B21" s="1537"/>
      <c r="C21" s="968"/>
      <c r="D21" s="968">
        <v>13</v>
      </c>
      <c r="E21" s="968"/>
      <c r="F21" s="968"/>
      <c r="G21" s="968"/>
      <c r="H21" s="968"/>
      <c r="I21" s="968"/>
      <c r="J21" s="968"/>
      <c r="K21" s="968"/>
      <c r="L21" s="1027"/>
      <c r="M21" s="1070">
        <f>SUM(M8:M20)</f>
        <v>138</v>
      </c>
      <c r="N21" s="974"/>
      <c r="O21" s="968"/>
      <c r="P21" s="1070">
        <f>SUM(P8:P20)</f>
        <v>138</v>
      </c>
      <c r="Q21" s="975"/>
      <c r="R21" s="976"/>
      <c r="S21" s="976">
        <f>SUM(S8:S20)</f>
        <v>80</v>
      </c>
      <c r="T21" s="976">
        <f>SUM(T8:T20)</f>
        <v>182</v>
      </c>
      <c r="U21" s="976">
        <f>SUM(U8:U20)</f>
        <v>14</v>
      </c>
      <c r="V21" s="976"/>
      <c r="W21" s="976"/>
      <c r="X21" s="976">
        <f>X8++X9+X10+X11+X12+X13+X14+X15+X16+X17+X18+X19+X20</f>
        <v>89</v>
      </c>
      <c r="Y21" s="976">
        <f t="shared" ref="Y21:Z21" si="4">Y8++Y9+Y10+Y11+Y12+Y13+Y14+Y15+Y16+Y17+Y18+Y19+Y20</f>
        <v>14</v>
      </c>
      <c r="Z21" s="976">
        <f t="shared" si="4"/>
        <v>89</v>
      </c>
      <c r="AA21" s="976"/>
    </row>
    <row r="22" spans="1:27" ht="15.75" thickBot="1">
      <c r="A22" s="383"/>
      <c r="B22" s="383" t="s">
        <v>679</v>
      </c>
      <c r="C22" s="383"/>
      <c r="D22" s="383">
        <v>1</v>
      </c>
      <c r="E22" s="383"/>
      <c r="F22" s="383"/>
      <c r="G22" s="383"/>
      <c r="H22" s="383"/>
      <c r="I22" s="383"/>
      <c r="J22" s="383"/>
      <c r="K22" s="383"/>
      <c r="L22" s="383"/>
      <c r="M22" s="383">
        <f>M14</f>
        <v>12</v>
      </c>
      <c r="N22" s="383"/>
      <c r="O22" s="383"/>
      <c r="P22" s="383">
        <f>P14</f>
        <v>12</v>
      </c>
      <c r="Q22" s="383"/>
      <c r="R22" s="383"/>
      <c r="S22" s="383"/>
      <c r="T22" s="383">
        <f t="shared" ref="T22:U22" si="5">T14</f>
        <v>14</v>
      </c>
      <c r="U22" s="383">
        <f t="shared" si="5"/>
        <v>2</v>
      </c>
      <c r="V22" s="383"/>
      <c r="W22" s="1758"/>
      <c r="X22" s="1758"/>
      <c r="Y22" s="1758"/>
      <c r="Z22" s="1758"/>
      <c r="AA22" s="383"/>
    </row>
    <row r="23" spans="1:27">
      <c r="A23" s="384"/>
      <c r="B23" s="384" t="s">
        <v>680</v>
      </c>
      <c r="C23" s="384"/>
      <c r="D23" s="384">
        <v>1</v>
      </c>
      <c r="E23" s="384"/>
      <c r="F23" s="384"/>
      <c r="G23" s="384"/>
      <c r="H23" s="384"/>
      <c r="I23" s="384"/>
      <c r="J23" s="384"/>
      <c r="K23" s="384"/>
      <c r="L23" s="384"/>
      <c r="M23" s="384">
        <f>M10</f>
        <v>10</v>
      </c>
      <c r="N23" s="384"/>
      <c r="O23" s="384"/>
      <c r="P23" s="384">
        <f>P10</f>
        <v>10</v>
      </c>
      <c r="Q23" s="384"/>
      <c r="R23" s="384"/>
      <c r="S23" s="384">
        <f t="shared" ref="S23:T23" si="6">S10</f>
        <v>10</v>
      </c>
      <c r="T23" s="384">
        <f t="shared" si="6"/>
        <v>14</v>
      </c>
      <c r="U23" s="384"/>
      <c r="V23" s="1756"/>
      <c r="W23" s="1759">
        <v>50</v>
      </c>
      <c r="X23" s="1791">
        <f>X8+X9+X11+X12+X13+X17+X18+X20+X15</f>
        <v>59</v>
      </c>
      <c r="Y23" s="1791">
        <f t="shared" ref="Y23:Z23" si="7">Y8+Y9+Y11+Y12+Y13+Y17+Y18+Y20+Y15</f>
        <v>8</v>
      </c>
      <c r="Z23" s="1792">
        <f t="shared" si="7"/>
        <v>59</v>
      </c>
      <c r="AA23" s="1757"/>
    </row>
    <row r="24" spans="1:27">
      <c r="A24" s="384"/>
      <c r="B24" s="384" t="s">
        <v>883</v>
      </c>
      <c r="C24" s="384"/>
      <c r="D24" s="384">
        <v>1</v>
      </c>
      <c r="E24" s="384"/>
      <c r="F24" s="384"/>
      <c r="G24" s="384"/>
      <c r="H24" s="384"/>
      <c r="I24" s="384"/>
      <c r="J24" s="384"/>
      <c r="K24" s="384"/>
      <c r="L24" s="384"/>
      <c r="M24" s="384">
        <f>M19</f>
        <v>12</v>
      </c>
      <c r="N24" s="384"/>
      <c r="O24" s="384"/>
      <c r="P24" s="384">
        <f>P19</f>
        <v>12</v>
      </c>
      <c r="Q24" s="384"/>
      <c r="R24" s="384"/>
      <c r="S24" s="384">
        <f t="shared" ref="S24:U24" si="8">S19</f>
        <v>10</v>
      </c>
      <c r="T24" s="384">
        <f t="shared" si="8"/>
        <v>14</v>
      </c>
      <c r="U24" s="384">
        <f t="shared" si="8"/>
        <v>2</v>
      </c>
      <c r="V24" s="1756"/>
      <c r="W24" s="1760">
        <v>75</v>
      </c>
      <c r="X24" s="384">
        <f>X10+X16+X19</f>
        <v>22</v>
      </c>
      <c r="Y24" s="384">
        <f t="shared" ref="Y24:Z24" si="9">Y10+Y16+Y19</f>
        <v>4</v>
      </c>
      <c r="Z24" s="906">
        <f t="shared" si="9"/>
        <v>22</v>
      </c>
      <c r="AA24" s="1757"/>
    </row>
    <row r="25" spans="1:27" ht="15.75" thickBot="1">
      <c r="A25" s="384"/>
      <c r="B25" s="384" t="s">
        <v>681</v>
      </c>
      <c r="C25" s="384"/>
      <c r="D25" s="384">
        <v>1</v>
      </c>
      <c r="E25" s="384"/>
      <c r="F25" s="384"/>
      <c r="G25" s="384"/>
      <c r="H25" s="384"/>
      <c r="I25" s="384"/>
      <c r="J25" s="384"/>
      <c r="K25" s="384"/>
      <c r="L25" s="384"/>
      <c r="M25" s="384">
        <f>M18</f>
        <v>10</v>
      </c>
      <c r="N25" s="384"/>
      <c r="O25" s="384"/>
      <c r="P25" s="384">
        <f>P18</f>
        <v>10</v>
      </c>
      <c r="Q25" s="384"/>
      <c r="R25" s="384"/>
      <c r="S25" s="384"/>
      <c r="T25" s="384">
        <f t="shared" ref="T25" si="10">T18</f>
        <v>14</v>
      </c>
      <c r="U25" s="384"/>
      <c r="V25" s="1756"/>
      <c r="W25" s="1761">
        <v>100</v>
      </c>
      <c r="X25" s="385">
        <f>X14</f>
        <v>8</v>
      </c>
      <c r="Y25" s="385">
        <f t="shared" ref="Y25:Z25" si="11">Y14</f>
        <v>2</v>
      </c>
      <c r="Z25" s="1793">
        <f t="shared" si="11"/>
        <v>8</v>
      </c>
      <c r="AA25" s="1757"/>
    </row>
    <row r="26" spans="1:27">
      <c r="A26" s="384"/>
      <c r="B26" s="384" t="s">
        <v>682</v>
      </c>
      <c r="C26" s="384"/>
      <c r="D26" s="384">
        <v>5</v>
      </c>
      <c r="E26" s="384"/>
      <c r="F26" s="384"/>
      <c r="G26" s="384"/>
      <c r="H26" s="384"/>
      <c r="I26" s="384"/>
      <c r="J26" s="384"/>
      <c r="K26" s="384"/>
      <c r="L26" s="384"/>
      <c r="M26" s="384">
        <f>M17+M16+M11+M9+M8</f>
        <v>52</v>
      </c>
      <c r="N26" s="384"/>
      <c r="O26" s="384"/>
      <c r="P26" s="384">
        <f>P17+P16+P11+P9+P8</f>
        <v>52</v>
      </c>
      <c r="Q26" s="384"/>
      <c r="R26" s="384"/>
      <c r="S26" s="384">
        <f t="shared" ref="S26:U26" si="12">S17+S16+S11+S9+S8</f>
        <v>40</v>
      </c>
      <c r="T26" s="384">
        <f t="shared" si="12"/>
        <v>70</v>
      </c>
      <c r="U26" s="384">
        <f t="shared" si="12"/>
        <v>10</v>
      </c>
      <c r="V26" s="384"/>
      <c r="W26" s="383"/>
      <c r="X26" s="383"/>
      <c r="Y26" s="383"/>
      <c r="Z26" s="383"/>
      <c r="AA26" s="384"/>
    </row>
    <row r="27" spans="1:27">
      <c r="A27" s="384"/>
      <c r="B27" s="384" t="s">
        <v>683</v>
      </c>
      <c r="C27" s="384"/>
      <c r="D27" s="384">
        <v>2</v>
      </c>
      <c r="E27" s="384"/>
      <c r="F27" s="384"/>
      <c r="G27" s="384"/>
      <c r="H27" s="384"/>
      <c r="I27" s="384"/>
      <c r="J27" s="384"/>
      <c r="K27" s="384"/>
      <c r="L27" s="384"/>
      <c r="M27" s="384">
        <f>M20+M15</f>
        <v>22</v>
      </c>
      <c r="N27" s="384"/>
      <c r="O27" s="384"/>
      <c r="P27" s="384">
        <f>P20+P15</f>
        <v>22</v>
      </c>
      <c r="Q27" s="384"/>
      <c r="R27" s="384"/>
      <c r="S27" s="384">
        <f t="shared" ref="S27:T27" si="13">S20+S15</f>
        <v>20</v>
      </c>
      <c r="T27" s="384">
        <f t="shared" si="13"/>
        <v>28</v>
      </c>
      <c r="U27" s="384"/>
      <c r="V27" s="384"/>
      <c r="W27" s="384"/>
      <c r="X27" s="384"/>
      <c r="Y27" s="384"/>
      <c r="Z27" s="384"/>
      <c r="AA27" s="384"/>
    </row>
    <row r="28" spans="1:27" ht="15.75" thickBot="1">
      <c r="A28" s="385"/>
      <c r="B28" s="385" t="s">
        <v>684</v>
      </c>
      <c r="C28" s="385"/>
      <c r="D28" s="385">
        <v>2</v>
      </c>
      <c r="E28" s="385"/>
      <c r="F28" s="385"/>
      <c r="G28" s="385"/>
      <c r="H28" s="385"/>
      <c r="I28" s="385"/>
      <c r="J28" s="385"/>
      <c r="K28" s="385"/>
      <c r="L28" s="385"/>
      <c r="M28" s="385">
        <f>M13+M12</f>
        <v>20</v>
      </c>
      <c r="N28" s="385"/>
      <c r="O28" s="385"/>
      <c r="P28" s="385">
        <f>P13+P12</f>
        <v>20</v>
      </c>
      <c r="Q28" s="385"/>
      <c r="R28" s="385"/>
      <c r="S28" s="385"/>
      <c r="T28" s="385">
        <f t="shared" ref="T28" si="14">T13+T12</f>
        <v>28</v>
      </c>
      <c r="U28" s="385"/>
      <c r="V28" s="385"/>
      <c r="W28" s="385"/>
      <c r="X28" s="385"/>
      <c r="Y28" s="385"/>
      <c r="Z28" s="385"/>
      <c r="AA28" s="385"/>
    </row>
    <row r="29" spans="1:27" ht="15.75" thickBot="1">
      <c r="A29" s="974"/>
      <c r="B29" s="968"/>
      <c r="C29" s="968"/>
      <c r="D29" s="968">
        <f>SUM(D22:D28)</f>
        <v>13</v>
      </c>
      <c r="E29" s="968"/>
      <c r="F29" s="968"/>
      <c r="G29" s="968"/>
      <c r="H29" s="968"/>
      <c r="I29" s="968"/>
      <c r="J29" s="968"/>
      <c r="K29" s="968"/>
      <c r="L29" s="968"/>
      <c r="M29" s="968">
        <f>SUM(M22:M28)</f>
        <v>138</v>
      </c>
      <c r="N29" s="968"/>
      <c r="O29" s="968"/>
      <c r="P29" s="968">
        <f>SUM(P22:P28)</f>
        <v>138</v>
      </c>
      <c r="Q29" s="968"/>
      <c r="R29" s="968">
        <f>SUM(R22:R28)</f>
        <v>0</v>
      </c>
      <c r="S29" s="968">
        <f>SUM(S22:S28)</f>
        <v>80</v>
      </c>
      <c r="T29" s="968">
        <f>SUM(T22:T28)</f>
        <v>182</v>
      </c>
      <c r="U29" s="968">
        <f>SUM(U22:U28)</f>
        <v>14</v>
      </c>
      <c r="V29" s="968"/>
      <c r="W29" s="968"/>
      <c r="X29" s="968">
        <f>SUM(X22:X28)</f>
        <v>89</v>
      </c>
      <c r="Y29" s="968">
        <f>SUM(Y22:Y28)</f>
        <v>14</v>
      </c>
      <c r="Z29" s="968">
        <f>SUM(Z22:Z28)</f>
        <v>89</v>
      </c>
      <c r="AA29" s="975"/>
    </row>
    <row r="30" spans="1:27">
      <c r="A30" s="973"/>
      <c r="B30" s="973"/>
      <c r="C30" s="973"/>
      <c r="D30" s="973"/>
      <c r="E30" s="973"/>
      <c r="F30" s="973"/>
      <c r="G30" s="973"/>
      <c r="H30" s="973"/>
      <c r="I30" s="973"/>
      <c r="J30" s="973"/>
      <c r="K30" s="973"/>
      <c r="L30" s="973"/>
      <c r="M30" s="973"/>
      <c r="N30" s="973"/>
      <c r="O30" s="973"/>
      <c r="P30" s="973"/>
      <c r="Q30" s="973"/>
      <c r="R30" s="973"/>
      <c r="S30" s="973"/>
      <c r="T30" s="973"/>
      <c r="U30" s="973"/>
      <c r="V30" s="973"/>
      <c r="W30" s="973"/>
      <c r="X30" s="973"/>
      <c r="Y30" s="973"/>
      <c r="Z30" s="973"/>
      <c r="AA30" s="973"/>
    </row>
    <row r="31" spans="1:27" ht="15.75" thickBot="1">
      <c r="A31" s="1529" t="s">
        <v>289</v>
      </c>
      <c r="B31" s="1529"/>
      <c r="C31" s="1529"/>
      <c r="D31" s="1529"/>
      <c r="E31" s="1529"/>
      <c r="F31" s="1529"/>
      <c r="G31" s="1529"/>
      <c r="H31" s="380"/>
      <c r="I31" s="380"/>
      <c r="J31" s="380"/>
    </row>
    <row r="32" spans="1:27" ht="15.75" thickBot="1">
      <c r="A32" s="1443" t="s">
        <v>41</v>
      </c>
      <c r="B32" s="1443" t="s">
        <v>259</v>
      </c>
      <c r="C32" s="1443" t="s">
        <v>203</v>
      </c>
      <c r="D32" s="1531" t="s">
        <v>191</v>
      </c>
      <c r="E32" s="1532"/>
      <c r="F32" s="1533" t="s">
        <v>260</v>
      </c>
      <c r="G32" s="1534"/>
      <c r="H32" s="1526" t="s">
        <v>261</v>
      </c>
      <c r="I32" s="1527"/>
      <c r="J32" s="1527"/>
      <c r="K32" s="1527"/>
      <c r="L32" s="1527"/>
      <c r="M32" s="1527"/>
      <c r="N32" s="1527"/>
      <c r="O32" s="1527"/>
      <c r="P32" s="1527"/>
      <c r="Q32" s="1527"/>
      <c r="R32" s="1527"/>
      <c r="S32" s="1527"/>
      <c r="T32" s="1527"/>
      <c r="U32" s="1527"/>
      <c r="V32" s="1528"/>
      <c r="W32" s="1513" t="s">
        <v>100</v>
      </c>
    </row>
    <row r="33" spans="1:23" ht="15.75" thickBot="1">
      <c r="A33" s="1530"/>
      <c r="B33" s="1530"/>
      <c r="C33" s="1530"/>
      <c r="D33" s="1513" t="s">
        <v>202</v>
      </c>
      <c r="E33" s="1515" t="s">
        <v>263</v>
      </c>
      <c r="F33" s="1535"/>
      <c r="G33" s="1394"/>
      <c r="H33" s="1515" t="s">
        <v>264</v>
      </c>
      <c r="I33" s="1515" t="s">
        <v>265</v>
      </c>
      <c r="J33" s="1515" t="s">
        <v>266</v>
      </c>
      <c r="K33" s="1515" t="s">
        <v>267</v>
      </c>
      <c r="L33" s="1515" t="s">
        <v>268</v>
      </c>
      <c r="M33" s="1443" t="s">
        <v>206</v>
      </c>
      <c r="N33" s="1518" t="s">
        <v>269</v>
      </c>
      <c r="O33" s="1519"/>
      <c r="P33" s="1519"/>
      <c r="Q33" s="1520"/>
      <c r="R33" s="1443" t="s">
        <v>270</v>
      </c>
      <c r="S33" s="1516" t="s">
        <v>213</v>
      </c>
      <c r="T33" s="1443" t="s">
        <v>271</v>
      </c>
      <c r="U33" s="1515" t="s">
        <v>272</v>
      </c>
      <c r="V33" s="1515" t="s">
        <v>273</v>
      </c>
      <c r="W33" s="1514"/>
    </row>
    <row r="34" spans="1:23" ht="54" customHeight="1" thickBot="1">
      <c r="A34" s="1530"/>
      <c r="B34" s="1530"/>
      <c r="C34" s="1530"/>
      <c r="D34" s="1514"/>
      <c r="E34" s="1384"/>
      <c r="F34" s="377" t="s">
        <v>276</v>
      </c>
      <c r="G34" s="381" t="s">
        <v>277</v>
      </c>
      <c r="H34" s="1384"/>
      <c r="I34" s="1384"/>
      <c r="J34" s="1384"/>
      <c r="K34" s="1384"/>
      <c r="L34" s="1384"/>
      <c r="M34" s="1444"/>
      <c r="N34" s="1521"/>
      <c r="O34" s="1522"/>
      <c r="P34" s="1522"/>
      <c r="Q34" s="1523"/>
      <c r="R34" s="1444"/>
      <c r="S34" s="1517"/>
      <c r="T34" s="1444"/>
      <c r="U34" s="1384"/>
      <c r="V34" s="1384"/>
      <c r="W34" s="1514"/>
    </row>
    <row r="35" spans="1:23" ht="15.75" thickBot="1">
      <c r="A35" s="1530"/>
      <c r="B35" s="1530"/>
      <c r="C35" s="1530"/>
      <c r="D35" s="1514"/>
      <c r="E35" s="1071" t="s">
        <v>278</v>
      </c>
      <c r="F35" s="1071" t="s">
        <v>279</v>
      </c>
      <c r="G35" s="1071" t="s">
        <v>280</v>
      </c>
      <c r="H35" s="1071" t="s">
        <v>65</v>
      </c>
      <c r="I35" s="1071" t="s">
        <v>65</v>
      </c>
      <c r="J35" s="1071" t="s">
        <v>281</v>
      </c>
      <c r="K35" s="1071" t="s">
        <v>65</v>
      </c>
      <c r="L35" s="1071" t="s">
        <v>65</v>
      </c>
      <c r="M35" s="1071" t="s">
        <v>65</v>
      </c>
      <c r="N35" s="1521"/>
      <c r="O35" s="1522"/>
      <c r="P35" s="1522"/>
      <c r="Q35" s="1523"/>
      <c r="R35" s="1071" t="s">
        <v>282</v>
      </c>
      <c r="S35" s="1071" t="s">
        <v>282</v>
      </c>
      <c r="T35" s="1071" t="s">
        <v>282</v>
      </c>
      <c r="U35" s="382" t="s">
        <v>24</v>
      </c>
      <c r="V35" s="1071" t="s">
        <v>65</v>
      </c>
      <c r="W35" s="1514"/>
    </row>
    <row r="36" spans="1:23" ht="15.75" thickBot="1">
      <c r="A36" s="378" t="s">
        <v>45</v>
      </c>
      <c r="B36" s="1072" t="s">
        <v>46</v>
      </c>
      <c r="C36" s="1072" t="s">
        <v>47</v>
      </c>
      <c r="D36" s="1072" t="s">
        <v>48</v>
      </c>
      <c r="E36" s="1069" t="s">
        <v>49</v>
      </c>
      <c r="F36" s="1024" t="s">
        <v>50</v>
      </c>
      <c r="G36" s="1072" t="s">
        <v>51</v>
      </c>
      <c r="H36" s="1072" t="s">
        <v>52</v>
      </c>
      <c r="I36" s="1072" t="s">
        <v>53</v>
      </c>
      <c r="J36" s="1072" t="s">
        <v>229</v>
      </c>
      <c r="K36" s="1072" t="s">
        <v>230</v>
      </c>
      <c r="L36" s="1069" t="s">
        <v>231</v>
      </c>
      <c r="M36" s="1069" t="s">
        <v>232</v>
      </c>
      <c r="N36" s="1538" t="s">
        <v>233</v>
      </c>
      <c r="O36" s="1538"/>
      <c r="P36" s="1538"/>
      <c r="Q36" s="1538"/>
      <c r="R36" s="1072" t="s">
        <v>234</v>
      </c>
      <c r="S36" s="1072" t="s">
        <v>235</v>
      </c>
      <c r="T36" s="1072" t="s">
        <v>236</v>
      </c>
      <c r="U36" s="1072" t="s">
        <v>237</v>
      </c>
      <c r="V36" s="1072" t="s">
        <v>238</v>
      </c>
      <c r="W36" s="1026" t="s">
        <v>243</v>
      </c>
    </row>
    <row r="37" spans="1:23">
      <c r="A37" s="1047">
        <v>1</v>
      </c>
      <c r="B37" s="1047" t="s">
        <v>646</v>
      </c>
      <c r="C37" s="614" t="s">
        <v>159</v>
      </c>
      <c r="D37" s="1047">
        <v>104</v>
      </c>
      <c r="E37" s="1047">
        <v>0.3</v>
      </c>
      <c r="F37" s="1047">
        <v>170</v>
      </c>
      <c r="G37" s="614">
        <f>E37*F37</f>
        <v>51</v>
      </c>
      <c r="H37" s="1047" t="s">
        <v>652</v>
      </c>
      <c r="I37" s="1047">
        <v>6</v>
      </c>
      <c r="J37" s="391">
        <v>72.510000000000005</v>
      </c>
      <c r="K37" s="1047">
        <v>71.400000000000006</v>
      </c>
      <c r="L37" s="1047">
        <f>J37-K37</f>
        <v>1.1099999999999994</v>
      </c>
      <c r="M37" s="1048">
        <v>10</v>
      </c>
      <c r="N37" s="1054">
        <v>40</v>
      </c>
      <c r="O37" s="1055" t="s">
        <v>284</v>
      </c>
      <c r="P37" s="1055">
        <f>M37</f>
        <v>10</v>
      </c>
      <c r="Q37" s="1056" t="s">
        <v>288</v>
      </c>
      <c r="R37" s="1019"/>
      <c r="S37" s="1047"/>
      <c r="T37" s="1047">
        <v>14</v>
      </c>
      <c r="U37" s="1047"/>
      <c r="V37" s="1048"/>
      <c r="W37" s="1052"/>
    </row>
    <row r="38" spans="1:23">
      <c r="A38" s="1047">
        <v>2</v>
      </c>
      <c r="B38" s="1047" t="s">
        <v>647</v>
      </c>
      <c r="C38" s="614" t="s">
        <v>159</v>
      </c>
      <c r="D38" s="1047">
        <v>105</v>
      </c>
      <c r="E38" s="1047">
        <v>0.22</v>
      </c>
      <c r="F38" s="1047">
        <v>170</v>
      </c>
      <c r="G38" s="614">
        <f t="shared" ref="G38:G67" si="15">E38*F38</f>
        <v>37.4</v>
      </c>
      <c r="H38" s="1047">
        <v>0</v>
      </c>
      <c r="I38" s="1047">
        <v>6</v>
      </c>
      <c r="J38" s="391">
        <v>72.510000000000005</v>
      </c>
      <c r="K38" s="1047">
        <v>71.400000000000006</v>
      </c>
      <c r="L38" s="1047">
        <f>J38-K38</f>
        <v>1.1099999999999994</v>
      </c>
      <c r="M38" s="1048">
        <v>10</v>
      </c>
      <c r="N38" s="1046">
        <v>40</v>
      </c>
      <c r="O38" s="1047" t="s">
        <v>284</v>
      </c>
      <c r="P38" s="1047">
        <f t="shared" ref="P38:P67" si="16">M38</f>
        <v>10</v>
      </c>
      <c r="Q38" s="1050" t="s">
        <v>288</v>
      </c>
      <c r="R38" s="1019"/>
      <c r="S38" s="1047"/>
      <c r="T38" s="1047">
        <v>14</v>
      </c>
      <c r="U38" s="1047"/>
      <c r="V38" s="1048"/>
      <c r="W38" s="1053"/>
    </row>
    <row r="39" spans="1:23">
      <c r="A39" s="1047">
        <v>3</v>
      </c>
      <c r="B39" s="1047" t="s">
        <v>650</v>
      </c>
      <c r="C39" s="1047" t="s">
        <v>441</v>
      </c>
      <c r="D39" s="1047">
        <v>631</v>
      </c>
      <c r="E39" s="1047">
        <v>0.01</v>
      </c>
      <c r="F39" s="1047">
        <v>170</v>
      </c>
      <c r="G39" s="614">
        <f t="shared" si="15"/>
        <v>1.7</v>
      </c>
      <c r="H39" s="1047" t="s">
        <v>653</v>
      </c>
      <c r="I39" s="1047">
        <v>3.5</v>
      </c>
      <c r="J39" s="392">
        <v>74.33</v>
      </c>
      <c r="K39" s="388">
        <v>73.28</v>
      </c>
      <c r="L39" s="388">
        <f>J39-K39</f>
        <v>1.0499999999999972</v>
      </c>
      <c r="M39" s="1048">
        <v>8</v>
      </c>
      <c r="N39" s="1046">
        <v>40</v>
      </c>
      <c r="O39" s="1047" t="s">
        <v>284</v>
      </c>
      <c r="P39" s="1047">
        <f t="shared" si="16"/>
        <v>8</v>
      </c>
      <c r="Q39" s="1050" t="s">
        <v>288</v>
      </c>
      <c r="R39" s="1019"/>
      <c r="S39" s="1047"/>
      <c r="T39" s="1047">
        <v>14</v>
      </c>
      <c r="U39" s="1047"/>
      <c r="V39" s="1048"/>
      <c r="W39" s="1053"/>
    </row>
    <row r="40" spans="1:23">
      <c r="A40" s="1047">
        <v>4</v>
      </c>
      <c r="B40" s="1047" t="s">
        <v>651</v>
      </c>
      <c r="C40" s="1047" t="s">
        <v>441</v>
      </c>
      <c r="D40" s="1047">
        <v>108</v>
      </c>
      <c r="E40" s="1047">
        <v>0.01</v>
      </c>
      <c r="F40" s="1047">
        <v>170</v>
      </c>
      <c r="G40" s="614">
        <f t="shared" si="15"/>
        <v>1.7</v>
      </c>
      <c r="H40" s="1047" t="s">
        <v>654</v>
      </c>
      <c r="I40" s="1047">
        <v>3.5</v>
      </c>
      <c r="J40" s="388">
        <v>76.58</v>
      </c>
      <c r="K40" s="392">
        <v>74.44</v>
      </c>
      <c r="L40" s="388">
        <f>J40-K40</f>
        <v>2.1400000000000006</v>
      </c>
      <c r="M40" s="1048">
        <v>12</v>
      </c>
      <c r="N40" s="1046">
        <v>40</v>
      </c>
      <c r="O40" s="1047" t="s">
        <v>284</v>
      </c>
      <c r="P40" s="1047">
        <f t="shared" si="16"/>
        <v>12</v>
      </c>
      <c r="Q40" s="1050" t="s">
        <v>288</v>
      </c>
      <c r="R40" s="1019"/>
      <c r="S40" s="1047"/>
      <c r="T40" s="1047">
        <v>14</v>
      </c>
      <c r="U40" s="1047"/>
      <c r="V40" s="1048"/>
      <c r="W40" s="1053"/>
    </row>
    <row r="41" spans="1:23">
      <c r="A41" s="1047">
        <v>5</v>
      </c>
      <c r="B41" s="1047" t="s">
        <v>591</v>
      </c>
      <c r="C41" s="1047" t="s">
        <v>444</v>
      </c>
      <c r="D41" s="1047">
        <v>924</v>
      </c>
      <c r="E41" s="1047">
        <v>0.01</v>
      </c>
      <c r="F41" s="1047">
        <v>170</v>
      </c>
      <c r="G41" s="614">
        <f t="shared" si="15"/>
        <v>1.7</v>
      </c>
      <c r="H41" s="1047" t="s">
        <v>592</v>
      </c>
      <c r="I41" s="1047">
        <v>4.5</v>
      </c>
      <c r="J41" s="1047">
        <v>75.38</v>
      </c>
      <c r="K41" s="1047">
        <v>74.11</v>
      </c>
      <c r="L41" s="1047">
        <f>J41-K41</f>
        <v>1.269999999999996</v>
      </c>
      <c r="M41" s="1048">
        <v>9</v>
      </c>
      <c r="N41" s="1046">
        <v>40</v>
      </c>
      <c r="O41" s="1047" t="s">
        <v>284</v>
      </c>
      <c r="P41" s="1047">
        <v>9</v>
      </c>
      <c r="Q41" s="671" t="s">
        <v>285</v>
      </c>
      <c r="R41" s="1019"/>
      <c r="S41" s="668">
        <v>10</v>
      </c>
      <c r="T41" s="1047">
        <v>14</v>
      </c>
      <c r="U41" s="1047"/>
      <c r="V41" s="1048"/>
      <c r="W41" s="1053" t="s">
        <v>672</v>
      </c>
    </row>
    <row r="42" spans="1:23">
      <c r="A42" s="1047">
        <v>6</v>
      </c>
      <c r="B42" s="1047" t="s">
        <v>594</v>
      </c>
      <c r="C42" s="1047" t="s">
        <v>444</v>
      </c>
      <c r="D42" s="1047" t="s">
        <v>562</v>
      </c>
      <c r="E42" s="1047">
        <v>0.01</v>
      </c>
      <c r="F42" s="1047">
        <v>170</v>
      </c>
      <c r="G42" s="614">
        <f t="shared" si="15"/>
        <v>1.7</v>
      </c>
      <c r="H42" s="1047" t="s">
        <v>593</v>
      </c>
      <c r="I42" s="1047">
        <v>4.5</v>
      </c>
      <c r="J42" s="741">
        <v>72.2</v>
      </c>
      <c r="K42" s="1047">
        <v>70.98</v>
      </c>
      <c r="L42" s="1047">
        <f t="shared" ref="L42:L67" si="17">J42-K42</f>
        <v>1.2199999999999989</v>
      </c>
      <c r="M42" s="1048">
        <v>10</v>
      </c>
      <c r="N42" s="1046">
        <v>40</v>
      </c>
      <c r="O42" s="1047" t="s">
        <v>284</v>
      </c>
      <c r="P42" s="1047">
        <v>10</v>
      </c>
      <c r="Q42" s="671" t="s">
        <v>285</v>
      </c>
      <c r="R42" s="1019"/>
      <c r="S42" s="668">
        <v>10</v>
      </c>
      <c r="T42" s="1047">
        <v>14</v>
      </c>
      <c r="U42" s="1047"/>
      <c r="V42" s="1048"/>
      <c r="W42" s="1053" t="s">
        <v>648</v>
      </c>
    </row>
    <row r="43" spans="1:23">
      <c r="A43" s="1047">
        <v>7</v>
      </c>
      <c r="B43" s="1047" t="s">
        <v>595</v>
      </c>
      <c r="C43" s="1047" t="s">
        <v>444</v>
      </c>
      <c r="D43" s="1047" t="s">
        <v>561</v>
      </c>
      <c r="E43" s="1047">
        <v>0.01</v>
      </c>
      <c r="F43" s="1047">
        <v>170</v>
      </c>
      <c r="G43" s="614">
        <f t="shared" si="15"/>
        <v>1.7</v>
      </c>
      <c r="H43" s="1047" t="s">
        <v>593</v>
      </c>
      <c r="I43" s="1047">
        <v>4.5</v>
      </c>
      <c r="J43" s="1047">
        <v>72.2</v>
      </c>
      <c r="K43" s="1047">
        <v>70.98</v>
      </c>
      <c r="L43" s="1047">
        <f t="shared" si="17"/>
        <v>1.2199999999999989</v>
      </c>
      <c r="M43" s="1048">
        <v>9</v>
      </c>
      <c r="N43" s="1046">
        <v>40</v>
      </c>
      <c r="O43" s="1047" t="s">
        <v>284</v>
      </c>
      <c r="P43" s="1047">
        <v>9</v>
      </c>
      <c r="Q43" s="671" t="s">
        <v>285</v>
      </c>
      <c r="R43" s="1019"/>
      <c r="S43" s="668">
        <v>10</v>
      </c>
      <c r="T43" s="1047">
        <v>14</v>
      </c>
      <c r="U43" s="1047"/>
      <c r="V43" s="1048"/>
      <c r="W43" s="1053" t="s">
        <v>648</v>
      </c>
    </row>
    <row r="44" spans="1:23">
      <c r="A44" s="1047">
        <v>8</v>
      </c>
      <c r="B44" s="1047" t="s">
        <v>597</v>
      </c>
      <c r="C44" s="1047" t="s">
        <v>444</v>
      </c>
      <c r="D44" s="1047" t="s">
        <v>562</v>
      </c>
      <c r="E44" s="1047">
        <v>0.01</v>
      </c>
      <c r="F44" s="1047">
        <v>170</v>
      </c>
      <c r="G44" s="614">
        <f t="shared" si="15"/>
        <v>1.7</v>
      </c>
      <c r="H44" s="1047" t="s">
        <v>596</v>
      </c>
      <c r="I44" s="1047">
        <v>4.5</v>
      </c>
      <c r="J44" s="1047">
        <v>74</v>
      </c>
      <c r="K44" s="1047">
        <v>72.45</v>
      </c>
      <c r="L44" s="1047">
        <f t="shared" si="17"/>
        <v>1.5499999999999972</v>
      </c>
      <c r="M44" s="1048">
        <v>10</v>
      </c>
      <c r="N44" s="1046">
        <v>40</v>
      </c>
      <c r="O44" s="1047" t="s">
        <v>284</v>
      </c>
      <c r="P44" s="1047">
        <f t="shared" si="16"/>
        <v>10</v>
      </c>
      <c r="Q44" s="671" t="s">
        <v>285</v>
      </c>
      <c r="R44" s="1019"/>
      <c r="S44" s="668">
        <v>10</v>
      </c>
      <c r="T44" s="1047">
        <v>14</v>
      </c>
      <c r="U44" s="1047"/>
      <c r="V44" s="1048"/>
      <c r="W44" s="1053" t="s">
        <v>648</v>
      </c>
    </row>
    <row r="45" spans="1:23">
      <c r="A45" s="1047">
        <v>9</v>
      </c>
      <c r="B45" s="1047" t="s">
        <v>598</v>
      </c>
      <c r="C45" s="1047" t="s">
        <v>444</v>
      </c>
      <c r="D45" s="1047" t="s">
        <v>561</v>
      </c>
      <c r="E45" s="1047">
        <v>0.01</v>
      </c>
      <c r="F45" s="1047">
        <v>170</v>
      </c>
      <c r="G45" s="614">
        <f t="shared" si="15"/>
        <v>1.7</v>
      </c>
      <c r="H45" s="1047" t="s">
        <v>599</v>
      </c>
      <c r="I45" s="1047">
        <v>4.5</v>
      </c>
      <c r="J45" s="1047">
        <v>74.150000000000006</v>
      </c>
      <c r="K45" s="742">
        <v>72.959999999999994</v>
      </c>
      <c r="L45" s="1047">
        <f t="shared" si="17"/>
        <v>1.1900000000000119</v>
      </c>
      <c r="M45" s="1048">
        <v>9</v>
      </c>
      <c r="N45" s="1046">
        <v>40</v>
      </c>
      <c r="O45" s="1047" t="s">
        <v>284</v>
      </c>
      <c r="P45" s="1047">
        <v>9</v>
      </c>
      <c r="Q45" s="671" t="s">
        <v>285</v>
      </c>
      <c r="R45" s="1019"/>
      <c r="S45" s="668">
        <v>10</v>
      </c>
      <c r="T45" s="1047">
        <v>14</v>
      </c>
      <c r="U45" s="1047"/>
      <c r="V45" s="1048"/>
      <c r="W45" s="1053" t="s">
        <v>648</v>
      </c>
    </row>
    <row r="46" spans="1:23">
      <c r="A46" s="1047">
        <v>10</v>
      </c>
      <c r="B46" s="1047" t="s">
        <v>600</v>
      </c>
      <c r="C46" s="1047" t="s">
        <v>444</v>
      </c>
      <c r="D46" s="1047" t="s">
        <v>562</v>
      </c>
      <c r="E46" s="1047">
        <v>0.01</v>
      </c>
      <c r="F46" s="1047">
        <v>170</v>
      </c>
      <c r="G46" s="614">
        <f t="shared" si="15"/>
        <v>1.7</v>
      </c>
      <c r="H46" s="1047" t="s">
        <v>601</v>
      </c>
      <c r="I46" s="1047">
        <v>4.5</v>
      </c>
      <c r="J46" s="1047">
        <v>74.900000000000006</v>
      </c>
      <c r="K46" s="1047">
        <v>73.55</v>
      </c>
      <c r="L46" s="1047">
        <f t="shared" si="17"/>
        <v>1.3500000000000085</v>
      </c>
      <c r="M46" s="1048">
        <v>10</v>
      </c>
      <c r="N46" s="1046">
        <v>40</v>
      </c>
      <c r="O46" s="1047" t="s">
        <v>284</v>
      </c>
      <c r="P46" s="1047">
        <f t="shared" si="16"/>
        <v>10</v>
      </c>
      <c r="Q46" s="671" t="s">
        <v>285</v>
      </c>
      <c r="R46" s="1019"/>
      <c r="S46" s="668">
        <v>10</v>
      </c>
      <c r="T46" s="1047">
        <v>14</v>
      </c>
      <c r="U46" s="1047"/>
      <c r="V46" s="1048"/>
      <c r="W46" s="1053" t="s">
        <v>648</v>
      </c>
    </row>
    <row r="47" spans="1:23">
      <c r="A47" s="1047">
        <v>11</v>
      </c>
      <c r="B47" s="1047" t="s">
        <v>602</v>
      </c>
      <c r="C47" s="1047" t="s">
        <v>444</v>
      </c>
      <c r="D47" s="1047" t="s">
        <v>561</v>
      </c>
      <c r="E47" s="1047">
        <v>0.01</v>
      </c>
      <c r="F47" s="1047">
        <v>170</v>
      </c>
      <c r="G47" s="614">
        <f t="shared" si="15"/>
        <v>1.7</v>
      </c>
      <c r="H47" s="1047" t="s">
        <v>603</v>
      </c>
      <c r="I47" s="1047">
        <v>4.5</v>
      </c>
      <c r="J47" s="1047">
        <v>75.08</v>
      </c>
      <c r="K47" s="1047">
        <v>73.900000000000006</v>
      </c>
      <c r="L47" s="1047">
        <f t="shared" si="17"/>
        <v>1.1799999999999926</v>
      </c>
      <c r="M47" s="1048">
        <v>9</v>
      </c>
      <c r="N47" s="1046">
        <v>40</v>
      </c>
      <c r="O47" s="1047" t="s">
        <v>284</v>
      </c>
      <c r="P47" s="1047">
        <v>9</v>
      </c>
      <c r="Q47" s="671" t="s">
        <v>285</v>
      </c>
      <c r="R47" s="1019"/>
      <c r="S47" s="668">
        <v>10</v>
      </c>
      <c r="T47" s="1047">
        <v>14</v>
      </c>
      <c r="U47" s="1047"/>
      <c r="V47" s="1048"/>
      <c r="W47" s="1053" t="s">
        <v>648</v>
      </c>
    </row>
    <row r="48" spans="1:23">
      <c r="A48" s="1047">
        <v>12</v>
      </c>
      <c r="B48" s="1047" t="s">
        <v>604</v>
      </c>
      <c r="C48" s="1047" t="s">
        <v>444</v>
      </c>
      <c r="D48" s="1047">
        <v>107</v>
      </c>
      <c r="E48" s="1047">
        <v>0.01</v>
      </c>
      <c r="F48" s="1047">
        <v>170</v>
      </c>
      <c r="G48" s="614">
        <f t="shared" si="15"/>
        <v>1.7</v>
      </c>
      <c r="H48" s="1047" t="s">
        <v>605</v>
      </c>
      <c r="I48" s="1047">
        <v>4.5</v>
      </c>
      <c r="J48" s="1047">
        <v>74.180000000000007</v>
      </c>
      <c r="K48" s="1047">
        <v>72.44</v>
      </c>
      <c r="L48" s="1047">
        <f t="shared" si="17"/>
        <v>1.7400000000000091</v>
      </c>
      <c r="M48" s="1048">
        <v>12</v>
      </c>
      <c r="N48" s="1046">
        <v>40</v>
      </c>
      <c r="O48" s="1047" t="s">
        <v>284</v>
      </c>
      <c r="P48" s="1047">
        <f t="shared" si="16"/>
        <v>12</v>
      </c>
      <c r="Q48" s="1050" t="s">
        <v>287</v>
      </c>
      <c r="R48" s="360">
        <v>10</v>
      </c>
      <c r="S48" s="1047"/>
      <c r="T48" s="1047">
        <v>14</v>
      </c>
      <c r="U48" s="614">
        <v>2</v>
      </c>
      <c r="V48" s="1048"/>
      <c r="W48" s="1053" t="s">
        <v>648</v>
      </c>
    </row>
    <row r="49" spans="1:23">
      <c r="A49" s="1047">
        <v>13</v>
      </c>
      <c r="B49" s="1047" t="s">
        <v>607</v>
      </c>
      <c r="C49" s="1047" t="s">
        <v>444</v>
      </c>
      <c r="D49" s="1047" t="s">
        <v>558</v>
      </c>
      <c r="E49" s="1047">
        <v>0.01</v>
      </c>
      <c r="F49" s="1047">
        <v>170</v>
      </c>
      <c r="G49" s="614">
        <f t="shared" si="15"/>
        <v>1.7</v>
      </c>
      <c r="H49" s="1047" t="s">
        <v>606</v>
      </c>
      <c r="I49" s="1047">
        <v>4.5</v>
      </c>
      <c r="J49" s="1047">
        <v>74.23</v>
      </c>
      <c r="K49" s="1047">
        <v>73</v>
      </c>
      <c r="L49" s="1047">
        <f t="shared" si="17"/>
        <v>1.230000000000004</v>
      </c>
      <c r="M49" s="1048">
        <v>9</v>
      </c>
      <c r="N49" s="1046">
        <v>40</v>
      </c>
      <c r="O49" s="1047" t="s">
        <v>284</v>
      </c>
      <c r="P49" s="1047">
        <v>9</v>
      </c>
      <c r="Q49" s="671" t="s">
        <v>285</v>
      </c>
      <c r="R49" s="1019"/>
      <c r="S49" s="668">
        <v>10</v>
      </c>
      <c r="T49" s="1047">
        <v>14</v>
      </c>
      <c r="U49" s="1047"/>
      <c r="V49" s="1048"/>
      <c r="W49" s="1053" t="s">
        <v>648</v>
      </c>
    </row>
    <row r="50" spans="1:23">
      <c r="A50" s="1047">
        <v>14</v>
      </c>
      <c r="B50" s="1047" t="s">
        <v>608</v>
      </c>
      <c r="C50" s="1047" t="s">
        <v>444</v>
      </c>
      <c r="D50" s="1047" t="s">
        <v>557</v>
      </c>
      <c r="E50" s="1047">
        <v>0.01</v>
      </c>
      <c r="F50" s="1047">
        <v>170</v>
      </c>
      <c r="G50" s="614">
        <f t="shared" si="15"/>
        <v>1.7</v>
      </c>
      <c r="H50" s="1047" t="s">
        <v>609</v>
      </c>
      <c r="I50" s="1047">
        <v>4.5</v>
      </c>
      <c r="J50" s="1047">
        <v>75.040000000000006</v>
      </c>
      <c r="K50" s="1047">
        <v>73.72</v>
      </c>
      <c r="L50" s="1047">
        <f t="shared" si="17"/>
        <v>1.3200000000000074</v>
      </c>
      <c r="M50" s="1048">
        <v>9</v>
      </c>
      <c r="N50" s="1046">
        <v>40</v>
      </c>
      <c r="O50" s="1047" t="s">
        <v>284</v>
      </c>
      <c r="P50" s="1047">
        <v>9</v>
      </c>
      <c r="Q50" s="671" t="s">
        <v>285</v>
      </c>
      <c r="R50" s="1019"/>
      <c r="S50" s="668">
        <v>10</v>
      </c>
      <c r="T50" s="1047">
        <v>14</v>
      </c>
      <c r="U50" s="1047"/>
      <c r="V50" s="1048"/>
      <c r="W50" s="1053" t="s">
        <v>648</v>
      </c>
    </row>
    <row r="51" spans="1:23">
      <c r="A51" s="1047">
        <v>15</v>
      </c>
      <c r="B51" s="1047" t="s">
        <v>612</v>
      </c>
      <c r="C51" s="1047" t="s">
        <v>444</v>
      </c>
      <c r="D51" s="1047">
        <v>903</v>
      </c>
      <c r="E51" s="1047">
        <v>0.01</v>
      </c>
      <c r="F51" s="1047">
        <v>170</v>
      </c>
      <c r="G51" s="614">
        <f t="shared" si="15"/>
        <v>1.7</v>
      </c>
      <c r="H51" s="1047" t="s">
        <v>613</v>
      </c>
      <c r="I51" s="1047">
        <v>4.5</v>
      </c>
      <c r="J51" s="1047">
        <v>73.75</v>
      </c>
      <c r="K51" s="1047">
        <v>72.44</v>
      </c>
      <c r="L51" s="1047">
        <f t="shared" si="17"/>
        <v>1.3100000000000023</v>
      </c>
      <c r="M51" s="1048">
        <v>9</v>
      </c>
      <c r="N51" s="1046">
        <v>40</v>
      </c>
      <c r="O51" s="1047" t="s">
        <v>284</v>
      </c>
      <c r="P51" s="1047">
        <v>9</v>
      </c>
      <c r="Q51" s="671" t="s">
        <v>285</v>
      </c>
      <c r="R51" s="1019"/>
      <c r="S51" s="668">
        <v>10</v>
      </c>
      <c r="T51" s="1047">
        <v>14</v>
      </c>
      <c r="U51" s="1047"/>
      <c r="V51" s="1048"/>
      <c r="W51" s="1053" t="s">
        <v>648</v>
      </c>
    </row>
    <row r="52" spans="1:23">
      <c r="A52" s="1047">
        <v>16</v>
      </c>
      <c r="B52" s="1047" t="s">
        <v>615</v>
      </c>
      <c r="C52" s="1047" t="s">
        <v>444</v>
      </c>
      <c r="D52" s="1047">
        <v>903</v>
      </c>
      <c r="E52" s="1047">
        <v>0.1</v>
      </c>
      <c r="F52" s="1047">
        <v>170</v>
      </c>
      <c r="G52" s="614">
        <f t="shared" si="15"/>
        <v>17</v>
      </c>
      <c r="H52" s="1047" t="s">
        <v>614</v>
      </c>
      <c r="I52" s="1047">
        <v>4.5</v>
      </c>
      <c r="J52" s="1047">
        <v>73.260000000000005</v>
      </c>
      <c r="K52" s="1047">
        <v>71.53</v>
      </c>
      <c r="L52" s="1047">
        <f t="shared" si="17"/>
        <v>1.730000000000004</v>
      </c>
      <c r="M52" s="1048">
        <v>12</v>
      </c>
      <c r="N52" s="1046">
        <v>40</v>
      </c>
      <c r="O52" s="1047" t="s">
        <v>284</v>
      </c>
      <c r="P52" s="1047">
        <f t="shared" si="16"/>
        <v>12</v>
      </c>
      <c r="Q52" s="671" t="s">
        <v>285</v>
      </c>
      <c r="R52" s="1019"/>
      <c r="S52" s="668">
        <v>10</v>
      </c>
      <c r="T52" s="1047">
        <v>14</v>
      </c>
      <c r="U52" s="1047"/>
      <c r="V52" s="1048"/>
      <c r="W52" s="1053" t="s">
        <v>648</v>
      </c>
    </row>
    <row r="53" spans="1:23">
      <c r="A53" s="1047">
        <v>17</v>
      </c>
      <c r="B53" s="1047" t="s">
        <v>617</v>
      </c>
      <c r="C53" s="1047" t="s">
        <v>444</v>
      </c>
      <c r="D53" s="1047" t="s">
        <v>554</v>
      </c>
      <c r="E53" s="1047">
        <v>0.01</v>
      </c>
      <c r="F53" s="1047">
        <v>170</v>
      </c>
      <c r="G53" s="614">
        <f t="shared" si="15"/>
        <v>1.7</v>
      </c>
      <c r="H53" s="1047" t="s">
        <v>618</v>
      </c>
      <c r="I53" s="1047">
        <v>4.5</v>
      </c>
      <c r="J53" s="1047">
        <v>74.08</v>
      </c>
      <c r="K53" s="1047">
        <v>73</v>
      </c>
      <c r="L53" s="1047">
        <f t="shared" si="17"/>
        <v>1.0799999999999983</v>
      </c>
      <c r="M53" s="1048">
        <v>9</v>
      </c>
      <c r="N53" s="1046">
        <v>40</v>
      </c>
      <c r="O53" s="1047" t="s">
        <v>284</v>
      </c>
      <c r="P53" s="1047">
        <v>9</v>
      </c>
      <c r="Q53" s="671" t="s">
        <v>285</v>
      </c>
      <c r="R53" s="1019"/>
      <c r="S53" s="668">
        <v>10</v>
      </c>
      <c r="T53" s="1047">
        <v>14</v>
      </c>
      <c r="U53" s="1047"/>
      <c r="V53" s="1048"/>
      <c r="W53" s="1053" t="s">
        <v>648</v>
      </c>
    </row>
    <row r="54" spans="1:23">
      <c r="A54" s="1047">
        <v>18</v>
      </c>
      <c r="B54" s="1047" t="s">
        <v>619</v>
      </c>
      <c r="C54" s="1047" t="s">
        <v>444</v>
      </c>
      <c r="D54" s="1047" t="s">
        <v>553</v>
      </c>
      <c r="E54" s="1047">
        <v>0.01</v>
      </c>
      <c r="F54" s="1047">
        <v>170</v>
      </c>
      <c r="G54" s="614">
        <f t="shared" si="15"/>
        <v>1.7</v>
      </c>
      <c r="H54" s="1047" t="s">
        <v>620</v>
      </c>
      <c r="I54" s="1047">
        <v>4.5</v>
      </c>
      <c r="J54" s="1047">
        <v>74.2</v>
      </c>
      <c r="K54" s="1047">
        <v>72.900000000000006</v>
      </c>
      <c r="L54" s="1047">
        <f t="shared" si="17"/>
        <v>1.2999999999999972</v>
      </c>
      <c r="M54" s="1048">
        <v>9</v>
      </c>
      <c r="N54" s="1046">
        <v>40</v>
      </c>
      <c r="O54" s="1047" t="s">
        <v>284</v>
      </c>
      <c r="P54" s="1047">
        <v>9</v>
      </c>
      <c r="Q54" s="671" t="s">
        <v>285</v>
      </c>
      <c r="R54" s="1019"/>
      <c r="S54" s="668">
        <v>10</v>
      </c>
      <c r="T54" s="1047">
        <v>14</v>
      </c>
      <c r="U54" s="1047"/>
      <c r="V54" s="1048"/>
      <c r="W54" s="1053" t="s">
        <v>648</v>
      </c>
    </row>
    <row r="55" spans="1:23">
      <c r="A55" s="1047">
        <v>19</v>
      </c>
      <c r="B55" s="1047" t="s">
        <v>622</v>
      </c>
      <c r="C55" s="1047" t="s">
        <v>444</v>
      </c>
      <c r="D55" s="1047">
        <v>912</v>
      </c>
      <c r="E55" s="1047">
        <v>0.01</v>
      </c>
      <c r="F55" s="1047">
        <v>170</v>
      </c>
      <c r="G55" s="614">
        <f t="shared" si="15"/>
        <v>1.7</v>
      </c>
      <c r="H55" s="1047" t="s">
        <v>393</v>
      </c>
      <c r="I55" s="1047">
        <v>4.5</v>
      </c>
      <c r="J55" s="1047">
        <v>80.38</v>
      </c>
      <c r="K55" s="1047">
        <v>79.02</v>
      </c>
      <c r="L55" s="1047">
        <f t="shared" si="17"/>
        <v>1.3599999999999994</v>
      </c>
      <c r="M55" s="1048">
        <v>10</v>
      </c>
      <c r="N55" s="1046">
        <v>40</v>
      </c>
      <c r="O55" s="1047" t="s">
        <v>284</v>
      </c>
      <c r="P55" s="1047">
        <f t="shared" si="16"/>
        <v>10</v>
      </c>
      <c r="Q55" s="671" t="s">
        <v>285</v>
      </c>
      <c r="R55" s="1019"/>
      <c r="S55" s="668">
        <v>10</v>
      </c>
      <c r="T55" s="1047">
        <v>14</v>
      </c>
      <c r="U55" s="1047"/>
      <c r="V55" s="1048"/>
      <c r="W55" s="1053" t="s">
        <v>672</v>
      </c>
    </row>
    <row r="56" spans="1:23">
      <c r="A56" s="1047">
        <v>20</v>
      </c>
      <c r="B56" s="1047" t="s">
        <v>623</v>
      </c>
      <c r="C56" s="1047" t="s">
        <v>444</v>
      </c>
      <c r="D56" s="1047" t="s">
        <v>565</v>
      </c>
      <c r="E56" s="1047">
        <v>0.01</v>
      </c>
      <c r="F56" s="1047">
        <v>170</v>
      </c>
      <c r="G56" s="614">
        <f t="shared" si="15"/>
        <v>1.7</v>
      </c>
      <c r="H56" s="1047" t="s">
        <v>624</v>
      </c>
      <c r="I56" s="1047">
        <v>4.5</v>
      </c>
      <c r="J56" s="1047">
        <v>79.95</v>
      </c>
      <c r="K56" s="1047">
        <v>78.34</v>
      </c>
      <c r="L56" s="1047">
        <f t="shared" si="17"/>
        <v>1.6099999999999994</v>
      </c>
      <c r="M56" s="1048">
        <v>10</v>
      </c>
      <c r="N56" s="1046">
        <v>40</v>
      </c>
      <c r="O56" s="1047" t="s">
        <v>284</v>
      </c>
      <c r="P56" s="1047">
        <f t="shared" si="16"/>
        <v>10</v>
      </c>
      <c r="Q56" s="1050" t="s">
        <v>287</v>
      </c>
      <c r="R56" s="360">
        <v>10</v>
      </c>
      <c r="S56" s="1047"/>
      <c r="T56" s="1047">
        <v>14</v>
      </c>
      <c r="U56" s="614">
        <v>2</v>
      </c>
      <c r="V56" s="1048"/>
      <c r="W56" s="1053" t="s">
        <v>672</v>
      </c>
    </row>
    <row r="57" spans="1:23">
      <c r="A57" s="1047">
        <v>21</v>
      </c>
      <c r="B57" s="1047" t="s">
        <v>626</v>
      </c>
      <c r="C57" s="1047" t="s">
        <v>444</v>
      </c>
      <c r="D57" s="1047" t="s">
        <v>566</v>
      </c>
      <c r="E57" s="1047">
        <v>0.01</v>
      </c>
      <c r="F57" s="1047">
        <v>170</v>
      </c>
      <c r="G57" s="614">
        <f t="shared" si="15"/>
        <v>1.7</v>
      </c>
      <c r="H57" s="1047" t="s">
        <v>625</v>
      </c>
      <c r="I57" s="1047">
        <v>4.5</v>
      </c>
      <c r="J57" s="1047">
        <v>78.16</v>
      </c>
      <c r="K57" s="1047">
        <v>76.7</v>
      </c>
      <c r="L57" s="1047">
        <f t="shared" si="17"/>
        <v>1.4599999999999937</v>
      </c>
      <c r="M57" s="1048">
        <v>10</v>
      </c>
      <c r="N57" s="1046">
        <v>40</v>
      </c>
      <c r="O57" s="1047" t="s">
        <v>284</v>
      </c>
      <c r="P57" s="1047">
        <f t="shared" si="16"/>
        <v>10</v>
      </c>
      <c r="Q57" s="1050" t="s">
        <v>287</v>
      </c>
      <c r="R57" s="360">
        <v>10</v>
      </c>
      <c r="S57" s="1047"/>
      <c r="T57" s="1047">
        <v>14</v>
      </c>
      <c r="U57" s="614">
        <v>2</v>
      </c>
      <c r="V57" s="1048"/>
      <c r="W57" s="1053" t="s">
        <v>672</v>
      </c>
    </row>
    <row r="58" spans="1:23">
      <c r="A58" s="1047">
        <v>22</v>
      </c>
      <c r="B58" s="1047" t="s">
        <v>628</v>
      </c>
      <c r="C58" s="1047" t="s">
        <v>444</v>
      </c>
      <c r="D58" s="1047" t="s">
        <v>568</v>
      </c>
      <c r="E58" s="1047">
        <v>0.01</v>
      </c>
      <c r="F58" s="1047">
        <v>170</v>
      </c>
      <c r="G58" s="614">
        <f t="shared" si="15"/>
        <v>1.7</v>
      </c>
      <c r="H58" s="1047" t="s">
        <v>627</v>
      </c>
      <c r="I58" s="1047">
        <v>4.5</v>
      </c>
      <c r="J58" s="1047">
        <v>78.349999999999994</v>
      </c>
      <c r="K58" s="1047">
        <v>76.760000000000005</v>
      </c>
      <c r="L58" s="1047">
        <f t="shared" si="17"/>
        <v>1.5899999999999892</v>
      </c>
      <c r="M58" s="1048">
        <v>10</v>
      </c>
      <c r="N58" s="1046">
        <v>40</v>
      </c>
      <c r="O58" s="1047" t="s">
        <v>284</v>
      </c>
      <c r="P58" s="1047">
        <f t="shared" si="16"/>
        <v>10</v>
      </c>
      <c r="Q58" s="671" t="s">
        <v>285</v>
      </c>
      <c r="R58" s="1019"/>
      <c r="S58" s="668">
        <v>10</v>
      </c>
      <c r="T58" s="1047">
        <v>14</v>
      </c>
      <c r="U58" s="1047"/>
      <c r="V58" s="1048"/>
      <c r="W58" s="1053" t="s">
        <v>672</v>
      </c>
    </row>
    <row r="59" spans="1:23">
      <c r="A59" s="1047">
        <v>23</v>
      </c>
      <c r="B59" s="1047" t="s">
        <v>629</v>
      </c>
      <c r="C59" s="1047" t="s">
        <v>444</v>
      </c>
      <c r="D59" s="1047">
        <v>917</v>
      </c>
      <c r="E59" s="1047">
        <v>0.01</v>
      </c>
      <c r="F59" s="1047">
        <v>170</v>
      </c>
      <c r="G59" s="614">
        <f t="shared" si="15"/>
        <v>1.7</v>
      </c>
      <c r="H59" s="1047" t="s">
        <v>627</v>
      </c>
      <c r="I59" s="1047">
        <v>4.5</v>
      </c>
      <c r="J59" s="1047">
        <v>78.349999999999994</v>
      </c>
      <c r="K59" s="1047">
        <v>76.7</v>
      </c>
      <c r="L59" s="1047">
        <f t="shared" si="17"/>
        <v>1.6499999999999915</v>
      </c>
      <c r="M59" s="1048">
        <v>10</v>
      </c>
      <c r="N59" s="1046">
        <v>40</v>
      </c>
      <c r="O59" s="1047" t="s">
        <v>284</v>
      </c>
      <c r="P59" s="1047">
        <f t="shared" si="16"/>
        <v>10</v>
      </c>
      <c r="Q59" s="671" t="s">
        <v>285</v>
      </c>
      <c r="R59" s="1019"/>
      <c r="S59" s="668">
        <v>10</v>
      </c>
      <c r="T59" s="1047">
        <v>14</v>
      </c>
      <c r="U59" s="1047"/>
      <c r="V59" s="1048"/>
      <c r="W59" s="1053" t="s">
        <v>672</v>
      </c>
    </row>
    <row r="60" spans="1:23">
      <c r="A60" s="1047">
        <v>24</v>
      </c>
      <c r="B60" s="1047" t="s">
        <v>631</v>
      </c>
      <c r="C60" s="1047" t="s">
        <v>444</v>
      </c>
      <c r="D60" s="1047" t="s">
        <v>569</v>
      </c>
      <c r="E60" s="1047">
        <v>0.01</v>
      </c>
      <c r="F60" s="1047">
        <v>170</v>
      </c>
      <c r="G60" s="614">
        <f t="shared" si="15"/>
        <v>1.7</v>
      </c>
      <c r="H60" s="1047" t="s">
        <v>630</v>
      </c>
      <c r="I60" s="1047">
        <v>4.5</v>
      </c>
      <c r="J60" s="1047">
        <v>78.14</v>
      </c>
      <c r="K60" s="1047">
        <v>76.540000000000006</v>
      </c>
      <c r="L60" s="1047">
        <f t="shared" si="17"/>
        <v>1.5999999999999943</v>
      </c>
      <c r="M60" s="1048">
        <v>10</v>
      </c>
      <c r="N60" s="1046">
        <v>40</v>
      </c>
      <c r="O60" s="1047" t="s">
        <v>284</v>
      </c>
      <c r="P60" s="1047">
        <f t="shared" si="16"/>
        <v>10</v>
      </c>
      <c r="Q60" s="1050" t="s">
        <v>287</v>
      </c>
      <c r="R60" s="360">
        <v>10</v>
      </c>
      <c r="S60" s="1047"/>
      <c r="T60" s="1047">
        <v>14</v>
      </c>
      <c r="U60" s="614">
        <v>2</v>
      </c>
      <c r="V60" s="1048"/>
      <c r="W60" s="1053" t="s">
        <v>672</v>
      </c>
    </row>
    <row r="61" spans="1:23">
      <c r="A61" s="1047">
        <v>25</v>
      </c>
      <c r="B61" s="1047" t="s">
        <v>632</v>
      </c>
      <c r="C61" s="1047" t="s">
        <v>444</v>
      </c>
      <c r="D61" s="1047" t="s">
        <v>570</v>
      </c>
      <c r="E61" s="1047">
        <v>0.01</v>
      </c>
      <c r="F61" s="1047">
        <v>170</v>
      </c>
      <c r="G61" s="614">
        <f t="shared" si="15"/>
        <v>1.7</v>
      </c>
      <c r="H61" s="1047" t="s">
        <v>633</v>
      </c>
      <c r="I61" s="1047">
        <v>4.5</v>
      </c>
      <c r="J61" s="1047">
        <v>76.400000000000006</v>
      </c>
      <c r="K61" s="1047">
        <v>75.11</v>
      </c>
      <c r="L61" s="1047">
        <f t="shared" si="17"/>
        <v>1.2900000000000063</v>
      </c>
      <c r="M61" s="1048">
        <v>10</v>
      </c>
      <c r="N61" s="1046">
        <v>40</v>
      </c>
      <c r="O61" s="1047" t="s">
        <v>284</v>
      </c>
      <c r="P61" s="1047">
        <f t="shared" si="16"/>
        <v>10</v>
      </c>
      <c r="Q61" s="671" t="s">
        <v>285</v>
      </c>
      <c r="R61" s="1019"/>
      <c r="S61" s="668">
        <v>10</v>
      </c>
      <c r="T61" s="1047">
        <v>14</v>
      </c>
      <c r="U61" s="1047"/>
      <c r="V61" s="1048"/>
      <c r="W61" s="1053" t="s">
        <v>672</v>
      </c>
    </row>
    <row r="62" spans="1:23">
      <c r="A62" s="1047">
        <v>26</v>
      </c>
      <c r="B62" s="1047" t="s">
        <v>634</v>
      </c>
      <c r="C62" s="1047" t="s">
        <v>448</v>
      </c>
      <c r="D62" s="1047" t="s">
        <v>572</v>
      </c>
      <c r="E62" s="1047">
        <v>0.01</v>
      </c>
      <c r="F62" s="1047">
        <v>170</v>
      </c>
      <c r="G62" s="614">
        <f t="shared" si="15"/>
        <v>1.7</v>
      </c>
      <c r="H62" s="1047" t="s">
        <v>635</v>
      </c>
      <c r="I62" s="1047" t="s">
        <v>901</v>
      </c>
      <c r="J62" s="1047">
        <v>78.42</v>
      </c>
      <c r="K62" s="1047">
        <v>77.38</v>
      </c>
      <c r="L62" s="1047">
        <f t="shared" si="17"/>
        <v>1.0400000000000063</v>
      </c>
      <c r="M62" s="1048">
        <v>10</v>
      </c>
      <c r="N62" s="1046">
        <v>40</v>
      </c>
      <c r="O62" s="1047" t="s">
        <v>284</v>
      </c>
      <c r="P62" s="1047">
        <f t="shared" si="16"/>
        <v>10</v>
      </c>
      <c r="Q62" s="1050" t="s">
        <v>287</v>
      </c>
      <c r="R62" s="360">
        <v>10</v>
      </c>
      <c r="S62" s="1047"/>
      <c r="T62" s="1047">
        <v>14</v>
      </c>
      <c r="U62" s="614">
        <v>2</v>
      </c>
      <c r="V62" s="1048"/>
      <c r="W62" s="1053" t="s">
        <v>649</v>
      </c>
    </row>
    <row r="63" spans="1:23">
      <c r="A63" s="1047">
        <v>27</v>
      </c>
      <c r="B63" s="1047" t="s">
        <v>636</v>
      </c>
      <c r="C63" s="1047" t="s">
        <v>448</v>
      </c>
      <c r="D63" s="1047" t="s">
        <v>575</v>
      </c>
      <c r="E63" s="1047">
        <v>0.01</v>
      </c>
      <c r="F63" s="1047">
        <v>170</v>
      </c>
      <c r="G63" s="614">
        <f t="shared" si="15"/>
        <v>1.7</v>
      </c>
      <c r="H63" s="1047" t="s">
        <v>637</v>
      </c>
      <c r="I63" s="1047">
        <v>4.5</v>
      </c>
      <c r="J63" s="1047">
        <v>78.180000000000007</v>
      </c>
      <c r="K63" s="1047">
        <v>77.05</v>
      </c>
      <c r="L63" s="1047">
        <f t="shared" si="17"/>
        <v>1.1300000000000097</v>
      </c>
      <c r="M63" s="1048">
        <v>10</v>
      </c>
      <c r="N63" s="1046">
        <v>40</v>
      </c>
      <c r="O63" s="1047" t="s">
        <v>284</v>
      </c>
      <c r="P63" s="1047">
        <f t="shared" si="16"/>
        <v>10</v>
      </c>
      <c r="Q63" s="1050" t="s">
        <v>287</v>
      </c>
      <c r="R63" s="360">
        <v>10</v>
      </c>
      <c r="S63" s="1047"/>
      <c r="T63" s="1047">
        <v>14</v>
      </c>
      <c r="U63" s="614">
        <v>2</v>
      </c>
      <c r="V63" s="1048"/>
      <c r="W63" s="1053" t="s">
        <v>649</v>
      </c>
    </row>
    <row r="64" spans="1:23">
      <c r="A64" s="1047">
        <v>28</v>
      </c>
      <c r="B64" s="1047" t="s">
        <v>638</v>
      </c>
      <c r="C64" s="1047" t="s">
        <v>448</v>
      </c>
      <c r="D64" s="1047" t="s">
        <v>574</v>
      </c>
      <c r="E64" s="1047">
        <v>0.01</v>
      </c>
      <c r="F64" s="1047">
        <v>170</v>
      </c>
      <c r="G64" s="614">
        <f t="shared" si="15"/>
        <v>1.7</v>
      </c>
      <c r="H64" s="1047" t="s">
        <v>639</v>
      </c>
      <c r="I64" s="1047">
        <v>4.5</v>
      </c>
      <c r="J64" s="1047">
        <v>78.099999999999994</v>
      </c>
      <c r="K64" s="1047">
        <v>77</v>
      </c>
      <c r="L64" s="1047">
        <f t="shared" si="17"/>
        <v>1.0999999999999943</v>
      </c>
      <c r="M64" s="1048">
        <v>9</v>
      </c>
      <c r="N64" s="1046">
        <v>40</v>
      </c>
      <c r="O64" s="1047" t="s">
        <v>284</v>
      </c>
      <c r="P64" s="1047">
        <v>9</v>
      </c>
      <c r="Q64" s="671" t="s">
        <v>285</v>
      </c>
      <c r="R64" s="1019"/>
      <c r="S64" s="668">
        <v>10</v>
      </c>
      <c r="T64" s="1047">
        <v>14</v>
      </c>
      <c r="U64" s="1047"/>
      <c r="V64" s="1048"/>
      <c r="W64" s="1053" t="s">
        <v>649</v>
      </c>
    </row>
    <row r="65" spans="1:27">
      <c r="A65" s="1047">
        <v>29</v>
      </c>
      <c r="B65" s="1047" t="s">
        <v>640</v>
      </c>
      <c r="C65" s="1047" t="s">
        <v>448</v>
      </c>
      <c r="D65" s="1047" t="s">
        <v>574</v>
      </c>
      <c r="E65" s="1047">
        <v>0.01</v>
      </c>
      <c r="F65" s="1047">
        <v>170</v>
      </c>
      <c r="G65" s="614">
        <f t="shared" si="15"/>
        <v>1.7</v>
      </c>
      <c r="H65" s="1047" t="s">
        <v>641</v>
      </c>
      <c r="I65" s="1047">
        <v>4.5</v>
      </c>
      <c r="J65" s="1047">
        <v>77.8</v>
      </c>
      <c r="K65" s="1047">
        <v>76.5</v>
      </c>
      <c r="L65" s="1047">
        <f t="shared" si="17"/>
        <v>1.2999999999999972</v>
      </c>
      <c r="M65" s="1048">
        <v>9</v>
      </c>
      <c r="N65" s="1046">
        <v>40</v>
      </c>
      <c r="O65" s="1047" t="s">
        <v>284</v>
      </c>
      <c r="P65" s="1047">
        <v>9</v>
      </c>
      <c r="Q65" s="671" t="s">
        <v>285</v>
      </c>
      <c r="R65" s="1019"/>
      <c r="S65" s="668">
        <v>10</v>
      </c>
      <c r="T65" s="1047">
        <v>14</v>
      </c>
      <c r="U65" s="1047"/>
      <c r="V65" s="1048"/>
      <c r="W65" s="1053" t="s">
        <v>649</v>
      </c>
    </row>
    <row r="66" spans="1:27">
      <c r="A66" s="1047">
        <v>30</v>
      </c>
      <c r="B66" s="1047" t="s">
        <v>643</v>
      </c>
      <c r="C66" s="1047" t="s">
        <v>449</v>
      </c>
      <c r="D66" s="1047" t="s">
        <v>578</v>
      </c>
      <c r="E66" s="1060">
        <v>0.01</v>
      </c>
      <c r="F66" s="1047">
        <v>170</v>
      </c>
      <c r="G66" s="614">
        <f t="shared" si="15"/>
        <v>1.7</v>
      </c>
      <c r="H66" s="1047" t="s">
        <v>645</v>
      </c>
      <c r="I66" s="1047">
        <v>4.5</v>
      </c>
      <c r="J66" s="1047">
        <v>77.05</v>
      </c>
      <c r="K66" s="1047">
        <v>75.66</v>
      </c>
      <c r="L66" s="1047">
        <f t="shared" si="17"/>
        <v>1.3900000000000006</v>
      </c>
      <c r="M66" s="1048">
        <v>10</v>
      </c>
      <c r="N66" s="1046">
        <v>40</v>
      </c>
      <c r="O66" s="1047" t="s">
        <v>284</v>
      </c>
      <c r="P66" s="1047">
        <f t="shared" si="16"/>
        <v>10</v>
      </c>
      <c r="Q66" s="671" t="s">
        <v>285</v>
      </c>
      <c r="R66" s="1019"/>
      <c r="S66" s="668">
        <v>10</v>
      </c>
      <c r="T66" s="1047">
        <v>14</v>
      </c>
      <c r="U66" s="1047"/>
      <c r="V66" s="1048"/>
      <c r="W66" s="1053" t="s">
        <v>673</v>
      </c>
    </row>
    <row r="67" spans="1:27" ht="15.75" thickBot="1">
      <c r="A67" s="1047">
        <v>31</v>
      </c>
      <c r="B67" s="1060" t="s">
        <v>644</v>
      </c>
      <c r="C67" s="1060" t="s">
        <v>449</v>
      </c>
      <c r="D67" s="740">
        <v>1100</v>
      </c>
      <c r="E67" s="1060">
        <v>0.01</v>
      </c>
      <c r="F67" s="1060">
        <v>170</v>
      </c>
      <c r="G67" s="647">
        <f t="shared" si="15"/>
        <v>1.7</v>
      </c>
      <c r="H67" s="1060" t="s">
        <v>645</v>
      </c>
      <c r="I67" s="1060">
        <v>4.5</v>
      </c>
      <c r="J67" s="1060">
        <v>77.05</v>
      </c>
      <c r="K67" s="1060">
        <v>75.52</v>
      </c>
      <c r="L67" s="1060">
        <f t="shared" si="17"/>
        <v>1.5300000000000011</v>
      </c>
      <c r="M67" s="1020">
        <v>10</v>
      </c>
      <c r="N67" s="1059">
        <v>40</v>
      </c>
      <c r="O67" s="1060" t="s">
        <v>284</v>
      </c>
      <c r="P67" s="1060">
        <f t="shared" si="16"/>
        <v>10</v>
      </c>
      <c r="Q67" s="1061" t="s">
        <v>285</v>
      </c>
      <c r="R67" s="1021"/>
      <c r="S67" s="647">
        <v>10</v>
      </c>
      <c r="T67" s="1060">
        <v>14</v>
      </c>
      <c r="U67" s="1060"/>
      <c r="V67" s="1020"/>
      <c r="W67" s="1062" t="s">
        <v>673</v>
      </c>
    </row>
    <row r="68" spans="1:27" ht="15.75" thickBot="1">
      <c r="A68" s="1536" t="s">
        <v>2</v>
      </c>
      <c r="B68" s="1537"/>
      <c r="C68" s="968"/>
      <c r="D68" s="968">
        <f>A67</f>
        <v>31</v>
      </c>
      <c r="E68" s="968"/>
      <c r="F68" s="968"/>
      <c r="G68" s="968"/>
      <c r="H68" s="968"/>
      <c r="I68" s="968"/>
      <c r="J68" s="968"/>
      <c r="K68" s="968"/>
      <c r="L68" s="1027"/>
      <c r="M68" s="1070">
        <f>SUM(M37:M67)</f>
        <v>303</v>
      </c>
      <c r="N68" s="974"/>
      <c r="O68" s="968"/>
      <c r="P68" s="1070"/>
      <c r="Q68" s="1070"/>
      <c r="R68" s="1070">
        <f>SUM(R37:R67)</f>
        <v>60</v>
      </c>
      <c r="S68" s="1070">
        <f>SUM(S37:S67)</f>
        <v>210</v>
      </c>
      <c r="T68" s="1070">
        <f>SUM(T37:T67)</f>
        <v>434</v>
      </c>
      <c r="U68" s="1070">
        <f>SUM(U37:U67)</f>
        <v>12</v>
      </c>
      <c r="V68" s="1070"/>
      <c r="W68" s="976"/>
      <c r="X68" s="1028"/>
      <c r="Y68" s="1029"/>
      <c r="Z68" s="1028"/>
      <c r="AA68" s="1028"/>
    </row>
    <row r="69" spans="1:27">
      <c r="A69" s="1762"/>
      <c r="B69" s="384" t="s">
        <v>682</v>
      </c>
      <c r="C69" s="393"/>
      <c r="D69" s="1032">
        <v>6</v>
      </c>
      <c r="E69" s="393"/>
      <c r="F69" s="393"/>
      <c r="G69" s="393"/>
      <c r="H69" s="393"/>
      <c r="I69" s="393"/>
      <c r="J69" s="393"/>
      <c r="K69" s="393"/>
      <c r="L69" s="393"/>
      <c r="M69" s="1794">
        <f>M63+M62+M60+M57+M56+M48</f>
        <v>62</v>
      </c>
      <c r="N69" s="393"/>
      <c r="O69" s="393"/>
      <c r="P69" s="1794"/>
      <c r="Q69" s="393"/>
      <c r="R69" s="1794">
        <f t="shared" ref="R69:U69" si="18">R63+R62+R60+R57+R56+R48</f>
        <v>60</v>
      </c>
      <c r="S69" s="1794"/>
      <c r="T69" s="1794">
        <f t="shared" si="18"/>
        <v>84</v>
      </c>
      <c r="U69" s="1794">
        <f t="shared" si="18"/>
        <v>12</v>
      </c>
      <c r="V69" s="393"/>
      <c r="W69" s="1763"/>
      <c r="X69" s="1030"/>
      <c r="Y69" s="1030"/>
      <c r="Z69" s="1031"/>
      <c r="AA69" s="1051"/>
    </row>
    <row r="70" spans="1:27">
      <c r="A70" s="1762"/>
      <c r="B70" s="384" t="s">
        <v>683</v>
      </c>
      <c r="C70" s="393"/>
      <c r="D70" s="1032">
        <v>21</v>
      </c>
      <c r="E70" s="393"/>
      <c r="F70" s="393"/>
      <c r="G70" s="393"/>
      <c r="H70" s="393"/>
      <c r="I70" s="393"/>
      <c r="J70" s="393"/>
      <c r="K70" s="393"/>
      <c r="L70" s="393"/>
      <c r="M70" s="1794">
        <f>M67+M66+M65+M64+M61+M59+M58+M55+M54+M53+M52+M51+M50+M49+M47+M46+M45+M44+M43+M42+M41</f>
        <v>201</v>
      </c>
      <c r="N70" s="393"/>
      <c r="O70" s="393"/>
      <c r="P70" s="1794"/>
      <c r="Q70" s="393"/>
      <c r="R70" s="1794"/>
      <c r="S70" s="1794">
        <f t="shared" ref="R70:U70" si="19">S67+S66+S65+S64+S61+S59+S58+S55+S54+S53+S52+S51+S50+S49+S47+S46+S45+S44+S43+S42+S41</f>
        <v>210</v>
      </c>
      <c r="T70" s="1794">
        <f t="shared" si="19"/>
        <v>294</v>
      </c>
      <c r="U70" s="1794"/>
      <c r="V70" s="393"/>
      <c r="W70" s="1763"/>
      <c r="X70" s="1030"/>
      <c r="Y70" s="1030"/>
      <c r="Z70" s="1031"/>
      <c r="AA70" s="1051"/>
    </row>
    <row r="71" spans="1:27" ht="15.75" thickBot="1">
      <c r="A71" s="1764"/>
      <c r="B71" s="385" t="s">
        <v>684</v>
      </c>
      <c r="C71" s="394"/>
      <c r="D71" s="1033">
        <v>4</v>
      </c>
      <c r="E71" s="394"/>
      <c r="F71" s="394"/>
      <c r="G71" s="394"/>
      <c r="H71" s="394"/>
      <c r="I71" s="394"/>
      <c r="J71" s="394"/>
      <c r="K71" s="394"/>
      <c r="L71" s="394"/>
      <c r="M71" s="1795">
        <f>M40+M39+M38+M37</f>
        <v>40</v>
      </c>
      <c r="N71" s="394"/>
      <c r="O71" s="394"/>
      <c r="P71" s="1795"/>
      <c r="Q71" s="394"/>
      <c r="R71" s="1795"/>
      <c r="S71" s="1795"/>
      <c r="T71" s="1795">
        <f t="shared" ref="R71:U71" si="20">T40+T39+T38+T37</f>
        <v>56</v>
      </c>
      <c r="U71" s="1795"/>
      <c r="V71" s="394"/>
      <c r="W71" s="1765"/>
      <c r="X71" s="1030"/>
      <c r="Y71" s="1030"/>
      <c r="Z71" s="1031"/>
      <c r="AA71" s="1051"/>
    </row>
    <row r="72" spans="1:27" s="362" customFormat="1" ht="15.75" thickBot="1">
      <c r="A72" s="1034"/>
      <c r="B72" s="1035"/>
      <c r="C72" s="969"/>
      <c r="D72" s="1035">
        <f>SUM(D69:D71)</f>
        <v>31</v>
      </c>
      <c r="E72" s="969"/>
      <c r="F72" s="969"/>
      <c r="G72" s="969"/>
      <c r="H72" s="969"/>
      <c r="I72" s="969"/>
      <c r="J72" s="969"/>
      <c r="K72" s="969"/>
      <c r="L72" s="969"/>
      <c r="M72" s="1035">
        <f>SUM(M69:M71)</f>
        <v>303</v>
      </c>
      <c r="N72" s="969"/>
      <c r="O72" s="969"/>
      <c r="P72" s="969"/>
      <c r="Q72" s="969"/>
      <c r="R72" s="1035">
        <f t="shared" ref="R72:U72" si="21">SUM(R69:R71)</f>
        <v>60</v>
      </c>
      <c r="S72" s="1035">
        <f t="shared" si="21"/>
        <v>210</v>
      </c>
      <c r="T72" s="1035">
        <f t="shared" si="21"/>
        <v>434</v>
      </c>
      <c r="U72" s="1035">
        <f t="shared" si="21"/>
        <v>12</v>
      </c>
      <c r="V72" s="969"/>
      <c r="W72" s="1036"/>
      <c r="X72" s="970"/>
      <c r="Y72" s="970"/>
      <c r="Z72" s="1037"/>
      <c r="AA72" s="1038"/>
    </row>
    <row r="73" spans="1:27" s="362" customFormat="1">
      <c r="A73" s="970"/>
      <c r="B73" s="1039"/>
      <c r="C73" s="970"/>
      <c r="D73" s="1039"/>
      <c r="E73" s="970"/>
      <c r="F73" s="970"/>
      <c r="G73" s="970"/>
      <c r="H73" s="970"/>
      <c r="I73" s="970"/>
      <c r="J73" s="970"/>
      <c r="K73" s="970"/>
      <c r="L73" s="970"/>
      <c r="M73" s="970"/>
      <c r="N73" s="970"/>
      <c r="O73" s="970"/>
      <c r="P73" s="970"/>
      <c r="Q73" s="970"/>
      <c r="R73" s="970"/>
      <c r="S73" s="970"/>
      <c r="T73" s="970"/>
      <c r="U73" s="970"/>
      <c r="V73" s="970"/>
      <c r="W73" s="970"/>
      <c r="X73" s="970"/>
      <c r="Y73" s="970"/>
      <c r="Z73" s="1037"/>
      <c r="AA73" s="1038"/>
    </row>
    <row r="74" spans="1:27" ht="15.75" thickBot="1">
      <c r="A74" s="1529" t="s">
        <v>292</v>
      </c>
      <c r="B74" s="1529"/>
      <c r="C74" s="1529"/>
      <c r="D74" s="1529"/>
      <c r="E74" s="1529"/>
      <c r="F74" s="1529"/>
      <c r="G74" s="1529"/>
      <c r="H74" s="1529"/>
      <c r="I74" s="1040"/>
      <c r="J74" s="1040"/>
    </row>
    <row r="75" spans="1:27" ht="29.25" customHeight="1" thickBot="1">
      <c r="A75" s="1443" t="s">
        <v>41</v>
      </c>
      <c r="B75" s="1443" t="s">
        <v>259</v>
      </c>
      <c r="C75" s="1518" t="s">
        <v>203</v>
      </c>
      <c r="D75" s="1533" t="s">
        <v>291</v>
      </c>
      <c r="E75" s="1534"/>
      <c r="F75" s="1526" t="s">
        <v>290</v>
      </c>
      <c r="G75" s="1528"/>
    </row>
    <row r="76" spans="1:27">
      <c r="A76" s="1530"/>
      <c r="B76" s="1530"/>
      <c r="C76" s="1521"/>
      <c r="D76" s="1539"/>
      <c r="E76" s="1540"/>
      <c r="F76" s="1533" t="s">
        <v>269</v>
      </c>
      <c r="G76" s="1534"/>
    </row>
    <row r="77" spans="1:27">
      <c r="A77" s="1530"/>
      <c r="B77" s="1530"/>
      <c r="C77" s="1521"/>
      <c r="D77" s="1539"/>
      <c r="E77" s="1540"/>
      <c r="F77" s="1539"/>
      <c r="G77" s="1540"/>
    </row>
    <row r="78" spans="1:27" ht="15.75" thickBot="1">
      <c r="A78" s="1444"/>
      <c r="B78" s="1444"/>
      <c r="C78" s="1541"/>
      <c r="D78" s="1393"/>
      <c r="E78" s="1394"/>
      <c r="F78" s="1393"/>
      <c r="G78" s="1394"/>
      <c r="I78" s="348" t="s">
        <v>888</v>
      </c>
    </row>
    <row r="79" spans="1:27" ht="15.75" thickBot="1">
      <c r="A79" s="378" t="s">
        <v>45</v>
      </c>
      <c r="B79" s="379" t="s">
        <v>46</v>
      </c>
      <c r="C79" s="379" t="s">
        <v>47</v>
      </c>
      <c r="D79" s="1542" t="s">
        <v>48</v>
      </c>
      <c r="E79" s="1543"/>
      <c r="F79" s="1544" t="s">
        <v>49</v>
      </c>
      <c r="G79" s="1545"/>
    </row>
    <row r="80" spans="1:27">
      <c r="A80" s="726">
        <v>1</v>
      </c>
      <c r="B80" s="682" t="s">
        <v>658</v>
      </c>
      <c r="C80" s="682" t="s">
        <v>160</v>
      </c>
      <c r="D80" s="1546">
        <v>415</v>
      </c>
      <c r="E80" s="1547"/>
      <c r="F80" s="1548" t="s">
        <v>451</v>
      </c>
      <c r="G80" s="1534"/>
    </row>
    <row r="81" spans="1:8" ht="15.75" thickBot="1">
      <c r="A81" s="1017"/>
      <c r="B81" s="624"/>
      <c r="C81" s="624"/>
      <c r="D81" s="1549"/>
      <c r="E81" s="1550"/>
      <c r="F81" s="1551"/>
      <c r="G81" s="1394"/>
    </row>
    <row r="83" spans="1:8">
      <c r="A83" s="674"/>
      <c r="B83" s="674"/>
      <c r="C83" s="674"/>
      <c r="D83" s="674"/>
      <c r="E83" s="674"/>
      <c r="F83" s="674"/>
      <c r="G83" s="674"/>
      <c r="H83" s="674"/>
    </row>
  </sheetData>
  <mergeCells count="66">
    <mergeCell ref="D79:E79"/>
    <mergeCell ref="F79:G79"/>
    <mergeCell ref="D80:E80"/>
    <mergeCell ref="F80:G80"/>
    <mergeCell ref="D81:E81"/>
    <mergeCell ref="F81:G81"/>
    <mergeCell ref="A74:H74"/>
    <mergeCell ref="A68:B68"/>
    <mergeCell ref="F75:G75"/>
    <mergeCell ref="F76:G78"/>
    <mergeCell ref="A75:A78"/>
    <mergeCell ref="B75:B78"/>
    <mergeCell ref="C75:C78"/>
    <mergeCell ref="D75:E78"/>
    <mergeCell ref="W32:W35"/>
    <mergeCell ref="K33:K34"/>
    <mergeCell ref="L33:L34"/>
    <mergeCell ref="M33:M34"/>
    <mergeCell ref="T33:T34"/>
    <mergeCell ref="U33:U34"/>
    <mergeCell ref="V33:V34"/>
    <mergeCell ref="H32:V32"/>
    <mergeCell ref="N33:Q35"/>
    <mergeCell ref="R33:R34"/>
    <mergeCell ref="S33:S34"/>
    <mergeCell ref="J33:J34"/>
    <mergeCell ref="H33:H34"/>
    <mergeCell ref="I33:I34"/>
    <mergeCell ref="N36:Q36"/>
    <mergeCell ref="A32:A35"/>
    <mergeCell ref="B32:B35"/>
    <mergeCell ref="C32:C35"/>
    <mergeCell ref="D32:E32"/>
    <mergeCell ref="F32:G33"/>
    <mergeCell ref="D33:D35"/>
    <mergeCell ref="E33:E34"/>
    <mergeCell ref="V4:V5"/>
    <mergeCell ref="U4:U5"/>
    <mergeCell ref="A31:G31"/>
    <mergeCell ref="A21:B21"/>
    <mergeCell ref="N7:Q7"/>
    <mergeCell ref="T4:T5"/>
    <mergeCell ref="R4:R5"/>
    <mergeCell ref="S4:S5"/>
    <mergeCell ref="A2:G2"/>
    <mergeCell ref="A3:A6"/>
    <mergeCell ref="B3:B6"/>
    <mergeCell ref="C3:C6"/>
    <mergeCell ref="D3:E3"/>
    <mergeCell ref="F3:G4"/>
    <mergeCell ref="AA3:AA6"/>
    <mergeCell ref="D4:D6"/>
    <mergeCell ref="E4:E5"/>
    <mergeCell ref="H4:H5"/>
    <mergeCell ref="I4:I5"/>
    <mergeCell ref="J4:J5"/>
    <mergeCell ref="K4:K5"/>
    <mergeCell ref="L4:L5"/>
    <mergeCell ref="X4:X5"/>
    <mergeCell ref="Y4:Y5"/>
    <mergeCell ref="Z4:Z5"/>
    <mergeCell ref="M4:M5"/>
    <mergeCell ref="N4:Q6"/>
    <mergeCell ref="W3:Z3"/>
    <mergeCell ref="H3:V3"/>
    <mergeCell ref="W4:W5"/>
  </mergeCells>
  <phoneticPr fontId="59" type="noConversion"/>
  <pageMargins left="0.39370078740157483" right="0" top="0.15748031496062992" bottom="0.15748031496062992" header="0.31496062992125984" footer="0.31496062992125984"/>
  <pageSetup paperSize="8" scale="73" orientation="landscape" r:id="rId1"/>
  <rowBreaks count="1" manualBreakCount="1">
    <brk id="30" max="2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4" workbookViewId="0">
      <pane ySplit="1695" topLeftCell="A22" activePane="bottomLeft"/>
      <selection activeCell="D5" sqref="D5:E5"/>
      <selection pane="bottomLeft" activeCell="A8" sqref="A8:XFD32"/>
    </sheetView>
    <sheetView workbookViewId="1">
      <pane ySplit="1785" topLeftCell="A32" activePane="bottomLeft"/>
      <selection activeCell="Q20" sqref="Q20"/>
      <selection pane="bottomLeft" activeCell="J41" sqref="J41"/>
    </sheetView>
  </sheetViews>
  <sheetFormatPr defaultRowHeight="15"/>
  <cols>
    <col min="2" max="2" width="55.42578125" customWidth="1"/>
    <col min="10" max="10" width="18.5703125" customWidth="1"/>
  </cols>
  <sheetData>
    <row r="1" spans="1:14" ht="15.75">
      <c r="A1" s="145" t="s">
        <v>295</v>
      </c>
    </row>
    <row r="2" spans="1:14" ht="15.75" thickBot="1">
      <c r="A2" s="143"/>
      <c r="B2" s="45"/>
      <c r="C2" s="45"/>
      <c r="D2" s="45"/>
      <c r="E2" s="1049"/>
      <c r="F2" s="45"/>
      <c r="G2" s="45"/>
      <c r="H2" s="45"/>
      <c r="I2" s="45"/>
      <c r="J2" s="45"/>
      <c r="K2" s="45"/>
      <c r="L2" s="45"/>
      <c r="M2" s="45"/>
      <c r="N2" s="45"/>
    </row>
    <row r="3" spans="1:14" ht="15.75" thickBot="1">
      <c r="A3" s="1242" t="s">
        <v>41</v>
      </c>
      <c r="B3" s="1245" t="s">
        <v>42</v>
      </c>
      <c r="C3" s="1250" t="s">
        <v>11</v>
      </c>
      <c r="D3" s="1221" t="s">
        <v>43</v>
      </c>
      <c r="E3" s="1222"/>
      <c r="F3" s="1222"/>
      <c r="G3" s="1222"/>
      <c r="H3" s="1222"/>
      <c r="I3" s="1223"/>
      <c r="J3" s="1265" t="s">
        <v>2</v>
      </c>
      <c r="K3" s="45"/>
      <c r="L3" s="45"/>
      <c r="M3" s="45"/>
      <c r="N3" s="45"/>
    </row>
    <row r="4" spans="1:14" ht="15.75" thickBot="1">
      <c r="A4" s="1243"/>
      <c r="B4" s="1145"/>
      <c r="C4" s="1251"/>
      <c r="D4" s="1314" t="s">
        <v>44</v>
      </c>
      <c r="E4" s="1552"/>
      <c r="F4" s="1552"/>
      <c r="G4" s="1552"/>
      <c r="H4" s="1552"/>
      <c r="I4" s="1315"/>
      <c r="J4" s="1266"/>
      <c r="K4" s="45"/>
      <c r="L4" s="45"/>
      <c r="M4" s="45"/>
      <c r="N4" s="45"/>
    </row>
    <row r="5" spans="1:14" ht="15.75" thickBot="1">
      <c r="A5" s="1243"/>
      <c r="B5" s="1309"/>
      <c r="C5" s="1312"/>
      <c r="D5" s="375" t="s">
        <v>8</v>
      </c>
      <c r="E5" s="1076" t="s">
        <v>9</v>
      </c>
      <c r="F5" s="375" t="s">
        <v>445</v>
      </c>
      <c r="G5" s="375" t="s">
        <v>676</v>
      </c>
      <c r="H5" s="375" t="s">
        <v>677</v>
      </c>
      <c r="I5" s="375" t="s">
        <v>678</v>
      </c>
      <c r="J5" s="1313"/>
      <c r="K5" s="45"/>
      <c r="L5" s="45"/>
      <c r="M5" s="45"/>
      <c r="N5" s="45"/>
    </row>
    <row r="6" spans="1:14" ht="15.75" thickBot="1">
      <c r="A6" s="91" t="s">
        <v>45</v>
      </c>
      <c r="B6" s="58" t="s">
        <v>46</v>
      </c>
      <c r="C6" s="58" t="s">
        <v>47</v>
      </c>
      <c r="D6" s="58" t="s">
        <v>48</v>
      </c>
      <c r="E6" s="58"/>
      <c r="F6" s="58" t="s">
        <v>50</v>
      </c>
      <c r="G6" s="58" t="s">
        <v>53</v>
      </c>
      <c r="H6" s="58" t="s">
        <v>229</v>
      </c>
      <c r="I6" s="58" t="s">
        <v>230</v>
      </c>
      <c r="J6" s="58" t="s">
        <v>231</v>
      </c>
      <c r="K6" s="45"/>
      <c r="L6" s="45"/>
      <c r="M6" s="45"/>
      <c r="N6" s="45"/>
    </row>
    <row r="7" spans="1:14">
      <c r="A7" s="1777">
        <v>1</v>
      </c>
      <c r="B7" s="1778" t="s">
        <v>296</v>
      </c>
      <c r="C7" s="81"/>
      <c r="D7" s="61"/>
      <c r="E7" s="61"/>
      <c r="F7" s="61"/>
      <c r="G7" s="1086"/>
      <c r="H7" s="1086"/>
      <c r="I7" s="1086"/>
      <c r="J7" s="155"/>
      <c r="K7" s="45"/>
      <c r="L7" s="45"/>
      <c r="M7" s="45"/>
      <c r="N7" s="376"/>
    </row>
    <row r="8" spans="1:14" s="348" customFormat="1">
      <c r="A8" s="1048">
        <v>2</v>
      </c>
      <c r="B8" s="1046" t="s">
        <v>687</v>
      </c>
      <c r="C8" s="1047" t="s">
        <v>65</v>
      </c>
      <c r="D8" s="1047">
        <f>'Tab9'!X18+'Tab9'!X20</f>
        <v>11</v>
      </c>
      <c r="E8" s="1047"/>
      <c r="F8" s="1047">
        <f>'Tab9'!X12+'Tab9'!X13</f>
        <v>12</v>
      </c>
      <c r="G8" s="1048">
        <f>'Tab9'!X11+'Tab9'!X15+'Tab9'!X17</f>
        <v>21</v>
      </c>
      <c r="H8" s="1048">
        <f>'Tab9'!X9</f>
        <v>7</v>
      </c>
      <c r="I8" s="1048">
        <f>'Tab9'!X8</f>
        <v>8</v>
      </c>
      <c r="J8" s="906">
        <f>SUM(D8:I8)</f>
        <v>59</v>
      </c>
      <c r="K8" s="1051"/>
      <c r="L8" s="1051"/>
      <c r="M8" s="1051"/>
      <c r="N8" s="1051"/>
    </row>
    <row r="9" spans="1:14" s="348" customFormat="1">
      <c r="A9" s="1048">
        <v>3</v>
      </c>
      <c r="B9" s="1046" t="s">
        <v>685</v>
      </c>
      <c r="C9" s="1047" t="s">
        <v>65</v>
      </c>
      <c r="D9" s="1047"/>
      <c r="E9" s="1047"/>
      <c r="F9" s="1047">
        <f>'Tab9'!X10</f>
        <v>9</v>
      </c>
      <c r="G9" s="1048">
        <f>'Tab9'!X16+'Tab9'!X19</f>
        <v>13</v>
      </c>
      <c r="H9" s="1048"/>
      <c r="I9" s="1048"/>
      <c r="J9" s="906">
        <f>SUM(D9:I9)</f>
        <v>22</v>
      </c>
      <c r="K9" s="1051"/>
      <c r="L9" s="1051"/>
      <c r="M9" s="1051"/>
      <c r="N9" s="1051"/>
    </row>
    <row r="10" spans="1:14" s="348" customFormat="1" ht="15.75" thickBot="1">
      <c r="A10" s="1048">
        <v>4</v>
      </c>
      <c r="B10" s="1046" t="s">
        <v>686</v>
      </c>
      <c r="C10" s="1047" t="s">
        <v>65</v>
      </c>
      <c r="D10" s="1060"/>
      <c r="E10" s="1060"/>
      <c r="F10" s="1060"/>
      <c r="G10" s="1020">
        <f>'Tab9'!X14</f>
        <v>8</v>
      </c>
      <c r="H10" s="1020"/>
      <c r="I10" s="1020"/>
      <c r="J10" s="1797">
        <f>SUM(D10:I10)</f>
        <v>8</v>
      </c>
      <c r="K10" s="1051"/>
      <c r="L10" s="1051"/>
      <c r="M10" s="1051"/>
      <c r="N10" s="1051"/>
    </row>
    <row r="11" spans="1:14" s="348" customFormat="1" ht="15.75" thickBot="1">
      <c r="A11" s="1048">
        <v>5</v>
      </c>
      <c r="B11" s="1798" t="s">
        <v>164</v>
      </c>
      <c r="C11" s="1048" t="s">
        <v>63</v>
      </c>
      <c r="D11" s="1066">
        <f>(D8*0.2)</f>
        <v>2.2000000000000002</v>
      </c>
      <c r="E11" s="1799"/>
      <c r="F11" s="1800">
        <f>(F8*0.2)+(F9*0.27)</f>
        <v>4.83</v>
      </c>
      <c r="G11" s="1801">
        <f>(G8*0.2)+(G9*0.27)+(G10*0.34)</f>
        <v>10.430000000000001</v>
      </c>
      <c r="H11" s="1802">
        <f>(H8*0.2)</f>
        <v>1.4000000000000001</v>
      </c>
      <c r="I11" s="399">
        <f>(I8*0.2)</f>
        <v>1.6</v>
      </c>
      <c r="J11" s="1803">
        <f>SUM(D11:I11)</f>
        <v>20.46</v>
      </c>
      <c r="K11" s="1051"/>
      <c r="L11" s="1051"/>
      <c r="M11" s="1051"/>
      <c r="N11" s="1051"/>
    </row>
    <row r="12" spans="1:14" s="348" customFormat="1" ht="15.75" thickBot="1">
      <c r="A12" s="1048">
        <v>6</v>
      </c>
      <c r="B12" s="1059" t="s">
        <v>297</v>
      </c>
      <c r="C12" s="1020" t="s">
        <v>63</v>
      </c>
      <c r="D12" s="1804">
        <f>'Tab9'!Y18+'Tab9'!Y20</f>
        <v>2</v>
      </c>
      <c r="E12" s="1805"/>
      <c r="F12" s="1806">
        <f>'Tab9'!Y10+'Tab9'!Y12+'Tab9'!Y13</f>
        <v>3.5</v>
      </c>
      <c r="G12" s="1806">
        <f>'Tab9'!Y11+'Tab9'!Y14+'Tab9'!Y16+'Tab9'!Y17+'Tab9'!Y19</f>
        <v>6.5</v>
      </c>
      <c r="H12" s="1806">
        <f>'Tab9'!Y9</f>
        <v>1</v>
      </c>
      <c r="I12" s="1807">
        <f>'Tab9'!Y8</f>
        <v>1</v>
      </c>
      <c r="J12" s="1808">
        <f>SUM(D12:I12)</f>
        <v>14</v>
      </c>
      <c r="K12" s="1051"/>
      <c r="L12" s="1051"/>
      <c r="M12" s="1051"/>
      <c r="N12" s="1051"/>
    </row>
    <row r="13" spans="1:14" s="348" customFormat="1" ht="15.75" thickBot="1">
      <c r="A13" s="1048">
        <v>7</v>
      </c>
      <c r="B13" s="1809" t="s">
        <v>164</v>
      </c>
      <c r="C13" s="1068"/>
      <c r="D13" s="1066">
        <f>SUM(D11:D12)</f>
        <v>4.2</v>
      </c>
      <c r="E13" s="1066"/>
      <c r="F13" s="1066">
        <f t="shared" ref="F13:I13" si="0">SUM(F11:F12)</f>
        <v>8.33</v>
      </c>
      <c r="G13" s="1066">
        <f t="shared" si="0"/>
        <v>16.93</v>
      </c>
      <c r="H13" s="1066">
        <f t="shared" si="0"/>
        <v>2.4000000000000004</v>
      </c>
      <c r="I13" s="1063">
        <f t="shared" si="0"/>
        <v>2.6</v>
      </c>
      <c r="J13" s="1810">
        <f>SUM(D13:I13)</f>
        <v>34.46</v>
      </c>
      <c r="K13" s="1051"/>
      <c r="L13" s="1051"/>
      <c r="M13" s="1051"/>
      <c r="N13" s="1051"/>
    </row>
    <row r="14" spans="1:14" s="348" customFormat="1">
      <c r="A14" s="1048">
        <v>8</v>
      </c>
      <c r="B14" s="1811" t="s">
        <v>298</v>
      </c>
      <c r="C14" s="386"/>
      <c r="D14" s="386"/>
      <c r="E14" s="386"/>
      <c r="F14" s="386"/>
      <c r="G14" s="1812"/>
      <c r="H14" s="1812"/>
      <c r="I14" s="1812"/>
      <c r="J14" s="1813"/>
      <c r="K14" s="1051"/>
      <c r="L14" s="1051"/>
      <c r="M14" s="1051"/>
      <c r="N14" s="1051"/>
    </row>
    <row r="15" spans="1:14" s="348" customFormat="1">
      <c r="A15" s="1048">
        <v>9</v>
      </c>
      <c r="B15" s="1046" t="s">
        <v>293</v>
      </c>
      <c r="C15" s="1047" t="s">
        <v>24</v>
      </c>
      <c r="D15" s="1047">
        <v>2</v>
      </c>
      <c r="E15" s="1047"/>
      <c r="F15" s="1047">
        <v>3</v>
      </c>
      <c r="G15" s="1048">
        <v>6</v>
      </c>
      <c r="H15" s="1048">
        <v>1</v>
      </c>
      <c r="I15" s="1048">
        <v>1</v>
      </c>
      <c r="J15" s="906">
        <f>SUM(D15:I15)</f>
        <v>13</v>
      </c>
      <c r="K15" s="1051"/>
      <c r="L15" s="1051"/>
      <c r="M15" s="1051"/>
      <c r="N15" s="1051"/>
    </row>
    <row r="16" spans="1:14" s="348" customFormat="1">
      <c r="A16" s="1048">
        <v>10</v>
      </c>
      <c r="B16" s="1046" t="s">
        <v>294</v>
      </c>
      <c r="C16" s="1047" t="s">
        <v>24</v>
      </c>
      <c r="D16" s="1047">
        <v>2</v>
      </c>
      <c r="E16" s="1047"/>
      <c r="F16" s="1047">
        <v>2</v>
      </c>
      <c r="G16" s="1048">
        <v>21</v>
      </c>
      <c r="H16" s="1048">
        <v>4</v>
      </c>
      <c r="I16" s="1048">
        <v>2</v>
      </c>
      <c r="J16" s="906">
        <f>SUM(D16:I16)</f>
        <v>31</v>
      </c>
      <c r="K16" s="1051"/>
      <c r="L16" s="1051"/>
      <c r="M16" s="1051"/>
      <c r="N16" s="1051"/>
    </row>
    <row r="17" spans="1:14" s="348" customFormat="1" ht="15.75" thickBot="1">
      <c r="A17" s="1048">
        <v>11</v>
      </c>
      <c r="B17" s="654" t="s">
        <v>879</v>
      </c>
      <c r="C17" s="387"/>
      <c r="D17" s="387"/>
      <c r="E17" s="387"/>
      <c r="F17" s="387"/>
      <c r="G17" s="1814"/>
      <c r="H17" s="1814"/>
      <c r="I17" s="1814"/>
      <c r="J17" s="906"/>
      <c r="K17" s="1051"/>
      <c r="L17" s="1051"/>
      <c r="M17" s="1051"/>
      <c r="N17" s="1051"/>
    </row>
    <row r="18" spans="1:14" s="348" customFormat="1" ht="15.75" thickBot="1">
      <c r="A18" s="1048">
        <v>12</v>
      </c>
      <c r="B18" s="1809" t="s">
        <v>164</v>
      </c>
      <c r="C18" s="1067"/>
      <c r="D18" s="1067">
        <f t="shared" ref="D18:I18" si="1">SUM(D15:D16)</f>
        <v>4</v>
      </c>
      <c r="E18" s="1067"/>
      <c r="F18" s="1067">
        <f t="shared" si="1"/>
        <v>5</v>
      </c>
      <c r="G18" s="1067">
        <f t="shared" si="1"/>
        <v>27</v>
      </c>
      <c r="H18" s="1067">
        <f t="shared" si="1"/>
        <v>5</v>
      </c>
      <c r="I18" s="1067">
        <f t="shared" si="1"/>
        <v>3</v>
      </c>
      <c r="J18" s="975">
        <f>SUM(D18:I18)</f>
        <v>44</v>
      </c>
      <c r="K18" s="1051"/>
      <c r="L18" s="1051"/>
      <c r="M18" s="1051"/>
      <c r="N18" s="1051"/>
    </row>
    <row r="19" spans="1:14" s="348" customFormat="1">
      <c r="A19" s="1048">
        <v>13</v>
      </c>
      <c r="B19" s="1811" t="s">
        <v>299</v>
      </c>
      <c r="C19" s="386"/>
      <c r="D19" s="386"/>
      <c r="E19" s="386"/>
      <c r="F19" s="386"/>
      <c r="G19" s="1812"/>
      <c r="H19" s="1812"/>
      <c r="I19" s="1812"/>
      <c r="J19" s="1813"/>
      <c r="K19" s="1051"/>
      <c r="L19" s="1051"/>
      <c r="M19" s="1051"/>
      <c r="N19" s="1051"/>
    </row>
    <row r="20" spans="1:14" s="348" customFormat="1">
      <c r="A20" s="1048">
        <v>14</v>
      </c>
      <c r="B20" s="1046" t="s">
        <v>688</v>
      </c>
      <c r="C20" s="1047" t="s">
        <v>65</v>
      </c>
      <c r="D20" s="391">
        <f>'Tab9'!P38+'Tab9'!P37+'Tab9'!P20</f>
        <v>30</v>
      </c>
      <c r="E20" s="391"/>
      <c r="F20" s="1047">
        <f>'Tab9'!M12+'Tab9'!M13+'Tab9'!M39+'Tab9'!M40</f>
        <v>40</v>
      </c>
      <c r="G20" s="1048">
        <f>'Tab9'!P11+'Tab9'!P15+'Tab9'!P16+'Tab9'!P17+'Tab9'!P41+'Tab9'!P42+'Tab9'!P43+'Tab9'!P44+'Tab9'!P45+'Tab9'!P46+'Tab9'!P47+'Tab9'!P48+'Tab9'!P49+'Tab9'!P50+'Tab9'!P51+'Tab9'!P52+'Tab9'!P53+'Tab9'!P54+'Tab9'!P55+'Tab9'!P56+'Tab9'!P57+'Tab9'!P58+'Tab9'!P59+'Tab9'!P60+'Tab9'!P61</f>
        <v>247</v>
      </c>
      <c r="H20" s="1048">
        <f>'Tab9'!P9+'Tab9'!P62+'Tab9'!P63+'Tab9'!P64+'Tab9'!P65</f>
        <v>50</v>
      </c>
      <c r="I20" s="1048">
        <f>'Tab9'!M8+'Tab9'!M66+'Tab9'!M67</f>
        <v>30</v>
      </c>
      <c r="J20" s="906">
        <f>SUM(D20:I20)</f>
        <v>397</v>
      </c>
      <c r="K20" s="1051"/>
      <c r="L20" s="1051"/>
      <c r="M20" s="1051"/>
      <c r="N20" s="1051"/>
    </row>
    <row r="21" spans="1:14" s="348" customFormat="1">
      <c r="A21" s="1048">
        <v>15</v>
      </c>
      <c r="B21" s="1046" t="s">
        <v>300</v>
      </c>
      <c r="C21" s="1047" t="s">
        <v>65</v>
      </c>
      <c r="D21" s="391">
        <f>'Tab9'!P18</f>
        <v>10</v>
      </c>
      <c r="E21" s="391"/>
      <c r="F21" s="1047"/>
      <c r="G21" s="1815"/>
      <c r="H21" s="1048"/>
      <c r="I21" s="1048"/>
      <c r="J21" s="906">
        <f>SUM(D21:I21)</f>
        <v>10</v>
      </c>
      <c r="K21" s="1051"/>
      <c r="L21" s="1051"/>
      <c r="M21" s="1051"/>
      <c r="N21" s="1051"/>
    </row>
    <row r="22" spans="1:14" s="348" customFormat="1">
      <c r="A22" s="1048">
        <v>16</v>
      </c>
      <c r="B22" s="1046" t="s">
        <v>301</v>
      </c>
      <c r="C22" s="1047" t="s">
        <v>65</v>
      </c>
      <c r="D22" s="391"/>
      <c r="E22" s="391"/>
      <c r="F22" s="1047">
        <f>'Tab9'!P10</f>
        <v>10</v>
      </c>
      <c r="G22" s="1048">
        <f>'Tab9'!P19</f>
        <v>12</v>
      </c>
      <c r="H22" s="1048"/>
      <c r="I22" s="1048"/>
      <c r="J22" s="906">
        <f>SUM(D22:I22)</f>
        <v>22</v>
      </c>
      <c r="K22" s="1051"/>
      <c r="L22" s="1051"/>
      <c r="M22" s="1051"/>
      <c r="N22" s="1051"/>
    </row>
    <row r="23" spans="1:14" s="348" customFormat="1" ht="15.75" thickBot="1">
      <c r="A23" s="1048">
        <v>17</v>
      </c>
      <c r="B23" s="1046" t="s">
        <v>302</v>
      </c>
      <c r="C23" s="1047" t="s">
        <v>65</v>
      </c>
      <c r="D23" s="391"/>
      <c r="E23" s="391"/>
      <c r="F23" s="1047"/>
      <c r="G23" s="1048">
        <f>'Tab9'!P14</f>
        <v>12</v>
      </c>
      <c r="H23" s="1048"/>
      <c r="I23" s="1048"/>
      <c r="J23" s="906">
        <f>SUM(D23:I23)</f>
        <v>12</v>
      </c>
      <c r="K23" s="1051"/>
      <c r="L23" s="1051"/>
      <c r="M23" s="1038"/>
      <c r="N23" s="1051"/>
    </row>
    <row r="24" spans="1:14" s="348" customFormat="1" ht="15.75" thickBot="1">
      <c r="A24" s="1048">
        <v>18</v>
      </c>
      <c r="B24" s="1816" t="s">
        <v>164</v>
      </c>
      <c r="C24" s="1817"/>
      <c r="D24" s="1818">
        <f>SUM(D20:D23)</f>
        <v>40</v>
      </c>
      <c r="E24" s="1818"/>
      <c r="F24" s="1818">
        <f>SUM(F20:F23)</f>
        <v>50</v>
      </c>
      <c r="G24" s="1067">
        <f>SUM(G20:G23)</f>
        <v>271</v>
      </c>
      <c r="H24" s="1067">
        <f>SUM(H20:H23)</f>
        <v>50</v>
      </c>
      <c r="I24" s="1067">
        <f>SUM(I20:I23)</f>
        <v>30</v>
      </c>
      <c r="J24" s="975">
        <f>SUM(J20:J23)</f>
        <v>441</v>
      </c>
      <c r="K24" s="1051"/>
      <c r="L24" s="1051"/>
      <c r="M24" s="1051"/>
      <c r="N24" s="1051"/>
    </row>
    <row r="25" spans="1:14" s="348" customFormat="1">
      <c r="A25" s="1048">
        <v>19</v>
      </c>
      <c r="B25" s="1811" t="s">
        <v>303</v>
      </c>
      <c r="C25" s="386"/>
      <c r="D25" s="386"/>
      <c r="E25" s="386"/>
      <c r="F25" s="386"/>
      <c r="G25" s="1812"/>
      <c r="H25" s="1812"/>
      <c r="I25" s="1812"/>
      <c r="J25" s="1813"/>
      <c r="K25" s="1051"/>
      <c r="L25" s="1051"/>
      <c r="M25" s="1051"/>
      <c r="N25" s="1051"/>
    </row>
    <row r="26" spans="1:14" s="348" customFormat="1">
      <c r="A26" s="1048">
        <v>20</v>
      </c>
      <c r="B26" s="1046" t="s">
        <v>689</v>
      </c>
      <c r="C26" s="1047" t="s">
        <v>81</v>
      </c>
      <c r="D26" s="386">
        <v>2</v>
      </c>
      <c r="E26" s="386"/>
      <c r="F26" s="386">
        <v>4</v>
      </c>
      <c r="G26" s="1812"/>
      <c r="H26" s="1812"/>
      <c r="I26" s="1812"/>
      <c r="J26" s="906">
        <f>SUM(D26:I26)</f>
        <v>6</v>
      </c>
      <c r="K26" s="1051"/>
      <c r="L26" s="1051"/>
      <c r="M26" s="1051"/>
      <c r="N26" s="1051"/>
    </row>
    <row r="27" spans="1:14" s="348" customFormat="1">
      <c r="A27" s="1048">
        <v>21</v>
      </c>
      <c r="B27" s="1046" t="s">
        <v>690</v>
      </c>
      <c r="C27" s="1047" t="s">
        <v>81</v>
      </c>
      <c r="D27" s="386">
        <v>1</v>
      </c>
      <c r="E27" s="386"/>
      <c r="F27" s="386"/>
      <c r="G27" s="1812">
        <v>18</v>
      </c>
      <c r="H27" s="1812">
        <v>2</v>
      </c>
      <c r="I27" s="1812">
        <v>2</v>
      </c>
      <c r="J27" s="906">
        <f>SUM(D27:I27)</f>
        <v>23</v>
      </c>
      <c r="K27" s="1051"/>
      <c r="L27" s="1051"/>
      <c r="M27" s="1051"/>
      <c r="N27" s="1051"/>
    </row>
    <row r="28" spans="1:14" s="348" customFormat="1">
      <c r="A28" s="1048">
        <v>22</v>
      </c>
      <c r="B28" s="1046" t="s">
        <v>691</v>
      </c>
      <c r="C28" s="1047" t="s">
        <v>81</v>
      </c>
      <c r="D28" s="386"/>
      <c r="E28" s="386"/>
      <c r="F28" s="386"/>
      <c r="G28" s="1812">
        <v>7</v>
      </c>
      <c r="H28" s="1812">
        <v>3</v>
      </c>
      <c r="I28" s="1812">
        <v>1</v>
      </c>
      <c r="J28" s="906">
        <f>SUM(D28:I28)</f>
        <v>11</v>
      </c>
      <c r="K28" s="1051"/>
      <c r="L28" s="1051"/>
      <c r="M28" s="1051"/>
      <c r="N28" s="1051"/>
    </row>
    <row r="29" spans="1:14" s="348" customFormat="1">
      <c r="A29" s="1048">
        <v>23</v>
      </c>
      <c r="B29" s="1046" t="s">
        <v>304</v>
      </c>
      <c r="C29" s="1047" t="s">
        <v>81</v>
      </c>
      <c r="D29" s="1047">
        <v>1</v>
      </c>
      <c r="E29" s="1047"/>
      <c r="F29" s="1047"/>
      <c r="G29" s="1048"/>
      <c r="H29" s="1048"/>
      <c r="I29" s="1048"/>
      <c r="J29" s="906">
        <f>SUM(D29:I29)</f>
        <v>1</v>
      </c>
      <c r="K29" s="1051"/>
      <c r="L29" s="1051"/>
      <c r="M29" s="1051"/>
      <c r="N29" s="1051"/>
    </row>
    <row r="30" spans="1:14" s="348" customFormat="1">
      <c r="A30" s="1048">
        <v>24</v>
      </c>
      <c r="B30" s="1046" t="s">
        <v>885</v>
      </c>
      <c r="C30" s="1047" t="s">
        <v>81</v>
      </c>
      <c r="D30" s="1047"/>
      <c r="E30" s="1047"/>
      <c r="F30" s="1047"/>
      <c r="G30" s="1048">
        <v>1</v>
      </c>
      <c r="H30" s="1048"/>
      <c r="I30" s="1048"/>
      <c r="J30" s="906">
        <f>SUM(D30:I30)</f>
        <v>1</v>
      </c>
      <c r="K30" s="1051"/>
      <c r="L30" s="1051"/>
      <c r="M30" s="1051"/>
      <c r="N30" s="1051"/>
    </row>
    <row r="31" spans="1:14" s="348" customFormat="1">
      <c r="A31" s="1048">
        <v>25</v>
      </c>
      <c r="B31" s="1046" t="s">
        <v>305</v>
      </c>
      <c r="C31" s="1047" t="s">
        <v>81</v>
      </c>
      <c r="D31" s="1047"/>
      <c r="E31" s="1047"/>
      <c r="F31" s="1047">
        <v>1</v>
      </c>
      <c r="G31" s="1048"/>
      <c r="H31" s="1048"/>
      <c r="I31" s="1048"/>
      <c r="J31" s="906">
        <f>SUM(D31:I31)</f>
        <v>1</v>
      </c>
      <c r="K31" s="1051"/>
      <c r="L31" s="1051"/>
      <c r="M31" s="1051"/>
      <c r="N31" s="1051"/>
    </row>
    <row r="32" spans="1:14" s="348" customFormat="1" ht="15.75" thickBot="1">
      <c r="A32" s="1048">
        <v>26</v>
      </c>
      <c r="B32" s="1046" t="s">
        <v>306</v>
      </c>
      <c r="C32" s="1047" t="s">
        <v>81</v>
      </c>
      <c r="D32" s="1047"/>
      <c r="E32" s="1047"/>
      <c r="F32" s="1047"/>
      <c r="G32" s="1048">
        <v>1</v>
      </c>
      <c r="H32" s="1048"/>
      <c r="I32" s="1048"/>
      <c r="J32" s="906">
        <f>SUM(D32:I32)</f>
        <v>1</v>
      </c>
      <c r="K32" s="1051"/>
      <c r="L32" s="1051"/>
      <c r="M32" s="1051"/>
      <c r="N32" s="1051"/>
    </row>
    <row r="33" spans="1:16" ht="15.75" thickBot="1">
      <c r="A33" s="1077">
        <v>27</v>
      </c>
      <c r="B33" s="361" t="s">
        <v>164</v>
      </c>
      <c r="C33" s="215"/>
      <c r="D33" s="215">
        <f>SUM(D26:D32)</f>
        <v>4</v>
      </c>
      <c r="E33" s="215"/>
      <c r="F33" s="215">
        <f>SUM(F26:F32)</f>
        <v>5</v>
      </c>
      <c r="G33" s="215">
        <f>SUM(G26:G32)</f>
        <v>27</v>
      </c>
      <c r="H33" s="215">
        <f>SUM(H26:H32)</f>
        <v>5</v>
      </c>
      <c r="I33" s="215">
        <f>SUM(I26:I32)</f>
        <v>3</v>
      </c>
      <c r="J33" s="358">
        <f>SUM(J26:J32)</f>
        <v>44</v>
      </c>
      <c r="K33" s="45"/>
      <c r="L33" s="45"/>
      <c r="M33" s="45"/>
      <c r="N33" s="45"/>
    </row>
    <row r="34" spans="1:16">
      <c r="A34" s="1077">
        <v>28</v>
      </c>
      <c r="B34" s="1779" t="s">
        <v>307</v>
      </c>
      <c r="C34" s="147"/>
      <c r="D34" s="147"/>
      <c r="E34" s="147"/>
      <c r="F34" s="147"/>
      <c r="G34" s="31"/>
      <c r="H34" s="31"/>
      <c r="I34" s="31"/>
      <c r="J34" s="357"/>
      <c r="K34" s="45"/>
      <c r="L34" s="45"/>
      <c r="M34" s="45"/>
      <c r="N34" s="45"/>
    </row>
    <row r="35" spans="1:16" s="348" customFormat="1">
      <c r="A35" s="1048">
        <v>29</v>
      </c>
      <c r="B35" s="1046" t="s">
        <v>308</v>
      </c>
      <c r="C35" s="1047" t="s">
        <v>24</v>
      </c>
      <c r="D35" s="1047"/>
      <c r="E35" s="1047"/>
      <c r="F35" s="1047"/>
      <c r="G35" s="1048">
        <f>'Tab9'!U11+'Tab9'!U14+'Tab9'!U16+'Tab9'!U17+'Tab9'!U19+'Tab9'!U48+'Tab9'!U56+'Tab9'!U57+'Tab9'!U60</f>
        <v>18</v>
      </c>
      <c r="H35" s="1048">
        <f>'Tab9'!U62+'Tab9'!U63+'Tab9'!U64+'Tab9'!U65+'Tab9'!U9</f>
        <v>6</v>
      </c>
      <c r="I35" s="1048">
        <f>'Tab9'!U8</f>
        <v>2</v>
      </c>
      <c r="J35" s="906">
        <f>SUM(D35:I35)</f>
        <v>26</v>
      </c>
      <c r="K35" s="1051"/>
      <c r="L35" s="1051"/>
      <c r="M35" s="1051"/>
      <c r="N35" s="1051"/>
    </row>
    <row r="36" spans="1:16" s="348" customFormat="1">
      <c r="A36" s="1048">
        <v>30</v>
      </c>
      <c r="B36" s="1046" t="s">
        <v>692</v>
      </c>
      <c r="C36" s="1047" t="s">
        <v>63</v>
      </c>
      <c r="D36" s="1047">
        <f>'Tab9'!S18+'Tab9'!S20+'Tab9'!S37+'Tab9'!S38+'Tab9'!Z18+'Tab9'!Z20</f>
        <v>21</v>
      </c>
      <c r="E36" s="1047"/>
      <c r="F36" s="1047">
        <f>'Tab9'!Z10+'Tab9'!Z12+'Tab9'!Z13+'Tab9'!S10</f>
        <v>31</v>
      </c>
      <c r="G36" s="391">
        <f>'Tab9'!S61+'Tab9'!S59+'Tab9'!S58+'Tab9'!S55+'Tab9'!S54+'Tab9'!S53+'Tab9'!S52+'Tab9'!S51+'Tab9'!S50+'Tab9'!S49+'Tab9'!S47+'Tab9'!S46+'Tab9'!S45+'Tab9'!S44+'Tab9'!S43+'Tab9'!S42+'Tab9'!S41+'Tab9'!S19+'Tab9'!S17+'Tab9'!S16+'Tab9'!S15+'Tab9'!S11+'Tab9'!Z11+'Tab9'!Z14+'Tab9'!Z15+'Tab9'!Z16+'Tab9'!Z17+'Tab9'!Z19</f>
        <v>262</v>
      </c>
      <c r="H36" s="1048">
        <f>'Tab9'!S62+'Tab9'!S63+'Tab9'!S64+'Tab9'!S65+'Tab9'!S9+'Tab9'!Z9</f>
        <v>37</v>
      </c>
      <c r="I36" s="1048">
        <f>'Tab9'!Z8+'Tab9'!S66+'Tab9'!S67</f>
        <v>28</v>
      </c>
      <c r="J36" s="1796">
        <f>SUM(D36:I36)</f>
        <v>379</v>
      </c>
      <c r="K36" s="1051"/>
      <c r="L36" s="1051"/>
      <c r="M36" s="1051"/>
      <c r="N36" s="1051"/>
    </row>
    <row r="37" spans="1:16" s="348" customFormat="1">
      <c r="A37" s="1048">
        <v>31</v>
      </c>
      <c r="B37" s="1046" t="s">
        <v>309</v>
      </c>
      <c r="C37" s="1047" t="s">
        <v>63</v>
      </c>
      <c r="D37" s="1047"/>
      <c r="E37" s="1047"/>
      <c r="F37" s="1047"/>
      <c r="G37" s="1048">
        <f>'Tab9'!R48+'Tab9'!R56+'Tab9'!R57+'Tab9'!R60</f>
        <v>40</v>
      </c>
      <c r="H37" s="1048">
        <f>'Tab9'!R62+'Tab9'!R63+'Tab9'!R64+'Tab9'!R65+'Tab9'!R9</f>
        <v>20</v>
      </c>
      <c r="I37" s="1048"/>
      <c r="J37" s="906">
        <f>SUM(D37:I37)</f>
        <v>60</v>
      </c>
      <c r="K37" s="1051"/>
      <c r="L37" s="1051"/>
      <c r="M37" s="1051"/>
      <c r="N37" s="1051"/>
    </row>
    <row r="38" spans="1:16" s="348" customFormat="1">
      <c r="A38" s="1048">
        <v>32</v>
      </c>
      <c r="B38" s="1046" t="s">
        <v>310</v>
      </c>
      <c r="C38" s="1047" t="s">
        <v>63</v>
      </c>
      <c r="D38" s="1047">
        <f>'Tab9'!T18+'Tab9'!T20+'Tab9'!T37+'Tab9'!T38</f>
        <v>56</v>
      </c>
      <c r="E38" s="1047"/>
      <c r="F38" s="1047">
        <f>'Tab9'!T10+'Tab9'!T12+'Tab9'!T13+'Tab9'!T39+'Tab9'!T40</f>
        <v>70</v>
      </c>
      <c r="G38" s="1048">
        <f>'Tab9'!T11+'Tab9'!T14+'Tab9'!T15+'Tab9'!T16+'Tab9'!T17+'Tab9'!T19+'Tab9'!T41+'Tab9'!T42+'Tab9'!T43+'Tab9'!T44+'Tab9'!T45+'Tab9'!T46+'Tab9'!T47+'Tab9'!T48++'Tab9'!T49+'Tab9'!T50+'Tab9'!T51+'Tab9'!T52+'Tab9'!T53+'Tab9'!T54+'Tab9'!T55+'Tab9'!T56+'Tab9'!T57+'Tab9'!T58+'Tab9'!T59+'Tab9'!T60+'Tab9'!T61</f>
        <v>378</v>
      </c>
      <c r="H38" s="1048">
        <f>'Tab9'!T9+'Tab9'!T62+'Tab9'!T63+'Tab9'!T64+'Tab9'!T65</f>
        <v>70</v>
      </c>
      <c r="I38" s="1048">
        <f>'Tab9'!T8+'Tab9'!T66+'Tab9'!T67</f>
        <v>42</v>
      </c>
      <c r="J38" s="1796">
        <f>SUM(D38:I38)</f>
        <v>616</v>
      </c>
      <c r="K38" s="1051"/>
      <c r="L38" s="1051"/>
      <c r="M38" s="1051"/>
      <c r="N38" s="1051"/>
    </row>
    <row r="39" spans="1:16" s="348" customFormat="1">
      <c r="A39" s="1048">
        <v>33</v>
      </c>
      <c r="B39" s="1046" t="s">
        <v>880</v>
      </c>
      <c r="C39" s="1047" t="s">
        <v>65</v>
      </c>
      <c r="D39" s="1047"/>
      <c r="E39" s="1047"/>
      <c r="F39" s="1047"/>
      <c r="G39" s="1048"/>
      <c r="H39" s="1048"/>
      <c r="I39" s="1048"/>
      <c r="J39" s="1796"/>
      <c r="K39" s="1051"/>
      <c r="L39" s="1051"/>
      <c r="M39" s="1051"/>
      <c r="N39" s="1051"/>
    </row>
    <row r="40" spans="1:16">
      <c r="A40" s="1077">
        <v>34</v>
      </c>
      <c r="B40" s="1780" t="s">
        <v>311</v>
      </c>
      <c r="C40" s="62"/>
      <c r="D40" s="62"/>
      <c r="E40" s="62"/>
      <c r="F40" s="62"/>
      <c r="G40" s="1077"/>
      <c r="H40" s="1077"/>
      <c r="I40" s="1077"/>
      <c r="J40" s="64"/>
      <c r="K40" s="45"/>
      <c r="L40" s="45"/>
      <c r="M40" s="45"/>
      <c r="N40" s="45"/>
    </row>
    <row r="41" spans="1:16">
      <c r="A41" s="1077">
        <v>35</v>
      </c>
      <c r="B41" s="321" t="s">
        <v>312</v>
      </c>
      <c r="C41" s="62" t="s">
        <v>24</v>
      </c>
      <c r="D41" s="62">
        <f>'Tab8'!AC25</f>
        <v>16</v>
      </c>
      <c r="E41" s="62">
        <f>'Tab8'!AC37</f>
        <v>1</v>
      </c>
      <c r="F41" s="20">
        <f>'Tab8'!AC71</f>
        <v>22</v>
      </c>
      <c r="G41" s="1077"/>
      <c r="H41" s="1077"/>
      <c r="I41" s="1077"/>
      <c r="J41" s="64">
        <f>SUM(D41:I41)</f>
        <v>39</v>
      </c>
      <c r="K41" s="45"/>
      <c r="L41" s="45"/>
      <c r="M41" s="45"/>
      <c r="N41" s="45"/>
    </row>
    <row r="42" spans="1:16" ht="15.75" thickBot="1">
      <c r="A42" s="1077">
        <v>36</v>
      </c>
      <c r="B42" s="497"/>
      <c r="C42" s="1080"/>
      <c r="D42" s="1080"/>
      <c r="E42" s="1080"/>
      <c r="F42" s="1080"/>
      <c r="G42" s="355"/>
      <c r="H42" s="355"/>
      <c r="I42" s="355"/>
      <c r="J42" s="356"/>
      <c r="K42" s="45"/>
      <c r="L42" s="45"/>
      <c r="M42" s="45"/>
      <c r="N42" s="45"/>
    </row>
    <row r="43" spans="1:16" ht="15.75" thickBot="1">
      <c r="A43" s="1077">
        <v>37</v>
      </c>
      <c r="B43" s="971" t="s">
        <v>313</v>
      </c>
      <c r="C43" s="1775"/>
      <c r="D43" s="1775"/>
      <c r="E43" s="1775"/>
      <c r="F43" s="1775"/>
      <c r="G43" s="1775"/>
      <c r="H43" s="1775"/>
      <c r="I43" s="1775"/>
      <c r="J43" s="1775"/>
      <c r="K43" s="1775"/>
      <c r="L43" s="1775"/>
      <c r="M43" s="1775"/>
      <c r="N43" s="1775"/>
      <c r="O43" s="1775"/>
      <c r="P43" s="1787"/>
    </row>
    <row r="44" spans="1:16">
      <c r="A44" s="62">
        <v>38</v>
      </c>
      <c r="B44" s="1781" t="s">
        <v>314</v>
      </c>
      <c r="C44" s="1782" t="s">
        <v>315</v>
      </c>
      <c r="D44" s="1783" t="s">
        <v>316</v>
      </c>
      <c r="E44" s="1784"/>
      <c r="F44" s="1785"/>
      <c r="G44" s="1783" t="s">
        <v>902</v>
      </c>
      <c r="H44" s="1785"/>
      <c r="I44" s="1783" t="s">
        <v>317</v>
      </c>
      <c r="J44" s="1785"/>
      <c r="K44" s="1783" t="s">
        <v>318</v>
      </c>
      <c r="L44" s="1785"/>
      <c r="M44" s="1783" t="s">
        <v>319</v>
      </c>
      <c r="N44" s="1785"/>
      <c r="O44" s="1783" t="s">
        <v>320</v>
      </c>
      <c r="P44" s="1786"/>
    </row>
    <row r="45" spans="1:16" ht="15.75" thickBot="1">
      <c r="A45" s="62">
        <v>39</v>
      </c>
      <c r="B45" s="366" t="s">
        <v>321</v>
      </c>
      <c r="C45" s="365" t="s">
        <v>322</v>
      </c>
      <c r="D45" s="365" t="s">
        <v>323</v>
      </c>
      <c r="E45" s="365"/>
      <c r="F45" s="365" t="s">
        <v>282</v>
      </c>
      <c r="G45" s="365" t="s">
        <v>324</v>
      </c>
      <c r="H45" s="365" t="s">
        <v>325</v>
      </c>
      <c r="I45" s="366" t="s">
        <v>323</v>
      </c>
      <c r="J45" s="365" t="s">
        <v>282</v>
      </c>
      <c r="K45" s="365" t="s">
        <v>324</v>
      </c>
      <c r="L45" s="365" t="s">
        <v>325</v>
      </c>
      <c r="M45" s="365" t="s">
        <v>326</v>
      </c>
      <c r="N45" s="365" t="s">
        <v>96</v>
      </c>
      <c r="O45" s="365" t="s">
        <v>327</v>
      </c>
      <c r="P45" s="367" t="s">
        <v>24</v>
      </c>
    </row>
    <row r="46" spans="1:16">
      <c r="A46" s="62">
        <v>40</v>
      </c>
      <c r="B46" s="360" t="s">
        <v>328</v>
      </c>
      <c r="C46" s="364">
        <f>J26</f>
        <v>6</v>
      </c>
      <c r="D46" s="1073" t="s">
        <v>173</v>
      </c>
      <c r="E46" s="1073" t="s">
        <v>173</v>
      </c>
      <c r="F46" s="1073" t="s">
        <v>173</v>
      </c>
      <c r="G46" s="1073" t="s">
        <v>173</v>
      </c>
      <c r="H46" s="1073" t="s">
        <v>173</v>
      </c>
      <c r="I46" s="1075">
        <v>2.2000000000000002</v>
      </c>
      <c r="J46" s="368">
        <f>C46*I46</f>
        <v>13.200000000000001</v>
      </c>
      <c r="K46" s="1073">
        <v>53</v>
      </c>
      <c r="L46" s="1073">
        <f>C46*K46</f>
        <v>318</v>
      </c>
      <c r="M46" s="1073">
        <v>1.3</v>
      </c>
      <c r="N46" s="368">
        <f>C46*M46</f>
        <v>7.8000000000000007</v>
      </c>
      <c r="O46" s="1073">
        <v>220</v>
      </c>
      <c r="P46" s="1074">
        <f>C46*O46</f>
        <v>1320</v>
      </c>
    </row>
    <row r="47" spans="1:16">
      <c r="A47" s="62">
        <v>41</v>
      </c>
      <c r="B47" s="360" t="s">
        <v>329</v>
      </c>
      <c r="C47" s="1073">
        <f>J29</f>
        <v>1</v>
      </c>
      <c r="D47" s="1073" t="s">
        <v>173</v>
      </c>
      <c r="E47" s="1073" t="s">
        <v>173</v>
      </c>
      <c r="F47" s="1073" t="s">
        <v>173</v>
      </c>
      <c r="G47" s="1073" t="s">
        <v>173</v>
      </c>
      <c r="H47" s="1073" t="s">
        <v>173</v>
      </c>
      <c r="I47" s="1075">
        <v>2.2000000000000002</v>
      </c>
      <c r="J47" s="368">
        <f>C47*I47</f>
        <v>2.2000000000000002</v>
      </c>
      <c r="K47" s="1073">
        <v>53</v>
      </c>
      <c r="L47" s="1073">
        <f>C47*K47</f>
        <v>53</v>
      </c>
      <c r="M47" s="1073">
        <v>1.3</v>
      </c>
      <c r="N47" s="368">
        <f>C47*M47</f>
        <v>1.3</v>
      </c>
      <c r="O47" s="1073">
        <v>220</v>
      </c>
      <c r="P47" s="1074">
        <f>C47*O47</f>
        <v>220</v>
      </c>
    </row>
    <row r="48" spans="1:16">
      <c r="A48" s="62">
        <v>42</v>
      </c>
      <c r="B48" s="360" t="s">
        <v>330</v>
      </c>
      <c r="C48" s="364">
        <f>'Tab9'!D70+'Tab9'!D27</f>
        <v>23</v>
      </c>
      <c r="D48" s="1073">
        <v>2.7</v>
      </c>
      <c r="E48" s="1073"/>
      <c r="F48" s="368">
        <f t="shared" ref="F48:F53" si="2">D48*C48</f>
        <v>62.1</v>
      </c>
      <c r="G48" s="1073">
        <v>12</v>
      </c>
      <c r="H48" s="369">
        <f t="shared" ref="H48:H53" si="3">G48*C48</f>
        <v>276</v>
      </c>
      <c r="I48" s="1075">
        <v>3.2</v>
      </c>
      <c r="J48" s="368">
        <f>C48*I48</f>
        <v>73.600000000000009</v>
      </c>
      <c r="K48" s="1073">
        <v>77</v>
      </c>
      <c r="L48" s="1073">
        <f>C48*K48</f>
        <v>1771</v>
      </c>
      <c r="M48" s="1073">
        <v>1.9</v>
      </c>
      <c r="N48" s="368">
        <f>C48*M48</f>
        <v>43.699999999999996</v>
      </c>
      <c r="O48" s="1073">
        <v>380</v>
      </c>
      <c r="P48" s="1074">
        <f>C48*O48</f>
        <v>8740</v>
      </c>
    </row>
    <row r="49" spans="1:16">
      <c r="A49" s="62">
        <v>43</v>
      </c>
      <c r="B49" s="360" t="s">
        <v>331</v>
      </c>
      <c r="C49" s="364">
        <f>'Tab9'!D23</f>
        <v>1</v>
      </c>
      <c r="D49" s="1073">
        <v>2.7</v>
      </c>
      <c r="E49" s="1073"/>
      <c r="F49" s="368">
        <f t="shared" si="2"/>
        <v>2.7</v>
      </c>
      <c r="G49" s="1073">
        <v>14</v>
      </c>
      <c r="H49" s="369">
        <f t="shared" si="3"/>
        <v>14</v>
      </c>
      <c r="I49" s="1075">
        <v>3.2</v>
      </c>
      <c r="J49" s="368">
        <f>C49*I49</f>
        <v>3.2</v>
      </c>
      <c r="K49" s="1073">
        <v>76</v>
      </c>
      <c r="L49" s="1073">
        <f>C49*K49</f>
        <v>76</v>
      </c>
      <c r="M49" s="1073">
        <v>1.9</v>
      </c>
      <c r="N49" s="368">
        <f>C49*M49</f>
        <v>1.9</v>
      </c>
      <c r="O49" s="1073">
        <v>380</v>
      </c>
      <c r="P49" s="1074">
        <f>C49*O49</f>
        <v>380</v>
      </c>
    </row>
    <row r="50" spans="1:16">
      <c r="A50" s="62">
        <v>44</v>
      </c>
      <c r="B50" s="360" t="s">
        <v>332</v>
      </c>
      <c r="C50" s="364">
        <f>'Tab9'!D26+'Tab9'!D69</f>
        <v>11</v>
      </c>
      <c r="D50" s="1073">
        <v>4.2</v>
      </c>
      <c r="E50" s="1073"/>
      <c r="F50" s="368">
        <f t="shared" si="2"/>
        <v>46.2</v>
      </c>
      <c r="G50" s="1073">
        <v>28</v>
      </c>
      <c r="H50" s="369">
        <f t="shared" si="3"/>
        <v>308</v>
      </c>
      <c r="I50" s="1075">
        <v>2.8</v>
      </c>
      <c r="J50" s="368">
        <f>C50*I50</f>
        <v>30.799999999999997</v>
      </c>
      <c r="K50" s="1073">
        <v>68</v>
      </c>
      <c r="L50" s="1073">
        <f>C50*K50</f>
        <v>748</v>
      </c>
      <c r="M50" s="1073">
        <v>1.7</v>
      </c>
      <c r="N50" s="368">
        <f>C50*M50</f>
        <v>18.7</v>
      </c>
      <c r="O50" s="1073">
        <v>280</v>
      </c>
      <c r="P50" s="1074">
        <f>C50*O50</f>
        <v>3080</v>
      </c>
    </row>
    <row r="51" spans="1:16">
      <c r="A51" s="62">
        <v>45</v>
      </c>
      <c r="B51" s="990" t="s">
        <v>884</v>
      </c>
      <c r="C51" s="364">
        <f>'Tab9'!D24</f>
        <v>1</v>
      </c>
      <c r="D51" s="1073">
        <v>5.9</v>
      </c>
      <c r="E51" s="1073"/>
      <c r="F51" s="368">
        <f t="shared" si="2"/>
        <v>5.9</v>
      </c>
      <c r="G51" s="1073">
        <v>38</v>
      </c>
      <c r="H51" s="369">
        <f t="shared" si="3"/>
        <v>38</v>
      </c>
      <c r="I51" s="1075">
        <v>2.4</v>
      </c>
      <c r="J51" s="368">
        <f>C51*I51</f>
        <v>2.4</v>
      </c>
      <c r="K51" s="1073">
        <v>58</v>
      </c>
      <c r="L51" s="1073">
        <f>C51*K51</f>
        <v>58</v>
      </c>
      <c r="M51" s="1073">
        <v>1.5</v>
      </c>
      <c r="N51" s="368">
        <f>C51*M51</f>
        <v>1.5</v>
      </c>
      <c r="O51" s="1073">
        <v>240</v>
      </c>
      <c r="P51" s="1074">
        <f>C51*O51</f>
        <v>240</v>
      </c>
    </row>
    <row r="52" spans="1:16">
      <c r="A52" s="62">
        <v>46</v>
      </c>
      <c r="B52" s="360" t="s">
        <v>333</v>
      </c>
      <c r="C52" s="364">
        <f>'Tab9'!D22</f>
        <v>1</v>
      </c>
      <c r="D52" s="1073">
        <v>12.1</v>
      </c>
      <c r="E52" s="1073"/>
      <c r="F52" s="368">
        <f t="shared" si="2"/>
        <v>12.1</v>
      </c>
      <c r="G52" s="1073">
        <v>56</v>
      </c>
      <c r="H52" s="369">
        <f t="shared" si="3"/>
        <v>56</v>
      </c>
      <c r="I52" s="1075">
        <v>1.7</v>
      </c>
      <c r="J52" s="368">
        <f>C52*I52</f>
        <v>1.7</v>
      </c>
      <c r="K52" s="1073">
        <v>40</v>
      </c>
      <c r="L52" s="1073">
        <f>C52*K52</f>
        <v>40</v>
      </c>
      <c r="M52" s="368">
        <v>1</v>
      </c>
      <c r="N52" s="368">
        <f>C52*M52</f>
        <v>1</v>
      </c>
      <c r="O52" s="1073">
        <v>165</v>
      </c>
      <c r="P52" s="1074">
        <f>C52*O52</f>
        <v>165</v>
      </c>
    </row>
    <row r="53" spans="1:16" ht="15.75" thickBot="1">
      <c r="A53" s="62">
        <v>47</v>
      </c>
      <c r="B53" s="370" t="s">
        <v>334</v>
      </c>
      <c r="C53" s="371">
        <f>'Tab8'!AC172</f>
        <v>39</v>
      </c>
      <c r="D53" s="372">
        <v>0.3</v>
      </c>
      <c r="E53" s="372"/>
      <c r="F53" s="372">
        <f t="shared" si="2"/>
        <v>11.7</v>
      </c>
      <c r="G53" s="365">
        <v>1.8</v>
      </c>
      <c r="H53" s="371">
        <f t="shared" si="3"/>
        <v>70.2</v>
      </c>
      <c r="I53" s="366"/>
      <c r="J53" s="372"/>
      <c r="K53" s="365"/>
      <c r="L53" s="365"/>
      <c r="M53" s="365"/>
      <c r="N53" s="372"/>
      <c r="O53" s="365"/>
      <c r="P53" s="367"/>
    </row>
    <row r="54" spans="1:16" ht="15.75" thickBot="1">
      <c r="A54" s="62">
        <v>48</v>
      </c>
      <c r="B54" s="1775" t="s">
        <v>2</v>
      </c>
      <c r="C54" s="373">
        <f>SUM(C46:C53)</f>
        <v>83</v>
      </c>
      <c r="D54" s="972"/>
      <c r="E54" s="972"/>
      <c r="F54" s="374">
        <f>SUM(F48:F53)</f>
        <v>140.69999999999999</v>
      </c>
      <c r="G54" s="972"/>
      <c r="H54" s="373">
        <f>SUM(H48:H53)</f>
        <v>762.2</v>
      </c>
      <c r="I54" s="972"/>
      <c r="J54" s="373">
        <f>SUM(J46:J53)</f>
        <v>127.10000000000002</v>
      </c>
      <c r="K54" s="373"/>
      <c r="L54" s="373">
        <f>SUM(L46:L53)</f>
        <v>3064</v>
      </c>
      <c r="M54" s="972"/>
      <c r="N54" s="374">
        <f>SUM(N46:N53)</f>
        <v>75.899999999999991</v>
      </c>
      <c r="O54" s="972"/>
      <c r="P54" s="373">
        <f>SUM(P46:P53)</f>
        <v>14145</v>
      </c>
    </row>
    <row r="55" spans="1:16">
      <c r="A55" s="1776"/>
      <c r="B55" s="45"/>
      <c r="C55" s="45"/>
      <c r="D55" s="45"/>
      <c r="E55" s="1049"/>
      <c r="F55" s="45"/>
      <c r="G55" s="45"/>
      <c r="H55" s="45"/>
      <c r="I55" s="45"/>
      <c r="J55" s="45"/>
      <c r="K55" s="45"/>
      <c r="L55" s="45"/>
      <c r="M55" s="45"/>
      <c r="N55" s="45"/>
    </row>
    <row r="56" spans="1:16">
      <c r="A56" s="45"/>
      <c r="B56" s="141"/>
      <c r="C56" s="141"/>
      <c r="D56" s="141"/>
      <c r="E56" s="141"/>
      <c r="F56" s="141"/>
      <c r="G56" s="141"/>
      <c r="H56" s="141"/>
      <c r="I56" s="141"/>
      <c r="J56" s="141"/>
      <c r="K56" s="142"/>
      <c r="L56" s="142"/>
      <c r="M56" s="142"/>
    </row>
    <row r="57" spans="1:16">
      <c r="A57" s="3"/>
      <c r="B57" s="52"/>
      <c r="C57" s="51"/>
      <c r="D57" s="50"/>
      <c r="E57" s="50"/>
      <c r="F57" s="51"/>
      <c r="G57" s="51"/>
      <c r="H57" s="51"/>
      <c r="I57" s="51"/>
      <c r="J57" s="51"/>
      <c r="K57" s="51"/>
      <c r="L57" s="51"/>
      <c r="M57" s="51"/>
    </row>
    <row r="58" spans="1:16">
      <c r="A58" s="45"/>
      <c r="B58" s="51"/>
      <c r="C58" s="51"/>
      <c r="D58" s="50"/>
      <c r="E58" s="50"/>
      <c r="F58" s="51"/>
      <c r="G58" s="51"/>
      <c r="H58" s="51"/>
      <c r="I58" s="51"/>
      <c r="J58" s="51"/>
      <c r="K58" s="51"/>
      <c r="L58" s="51"/>
      <c r="M58" s="51"/>
    </row>
    <row r="59" spans="1:16">
      <c r="A59" s="45"/>
    </row>
  </sheetData>
  <mergeCells count="12">
    <mergeCell ref="O44:P44"/>
    <mergeCell ref="A3:A5"/>
    <mergeCell ref="B3:B5"/>
    <mergeCell ref="C3:C5"/>
    <mergeCell ref="J3:J5"/>
    <mergeCell ref="D44:F44"/>
    <mergeCell ref="D3:I3"/>
    <mergeCell ref="D4:I4"/>
    <mergeCell ref="G44:H44"/>
    <mergeCell ref="I44:J44"/>
    <mergeCell ref="K44:L44"/>
    <mergeCell ref="M44:N44"/>
  </mergeCells>
  <phoneticPr fontId="59" type="noConversion"/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M13" sqref="M13"/>
    </sheetView>
    <sheetView topLeftCell="A16" workbookViewId="1">
      <selection activeCell="E29" activeCellId="1" sqref="E19 E29"/>
    </sheetView>
  </sheetViews>
  <sheetFormatPr defaultRowHeight="15"/>
  <cols>
    <col min="2" max="2" width="36.140625" customWidth="1"/>
    <col min="4" max="4" width="18" customWidth="1"/>
  </cols>
  <sheetData>
    <row r="1" spans="1:11" ht="15.75">
      <c r="A1" s="145" t="s">
        <v>335</v>
      </c>
      <c r="B1" s="159"/>
    </row>
    <row r="2" spans="1:11" ht="15.75" thickBot="1">
      <c r="B2" s="159"/>
    </row>
    <row r="3" spans="1:11" ht="28.5" customHeight="1" thickBot="1">
      <c r="A3" s="1242" t="s">
        <v>41</v>
      </c>
      <c r="B3" s="628" t="s">
        <v>336</v>
      </c>
      <c r="C3" s="1515" t="s">
        <v>337</v>
      </c>
      <c r="D3" s="1515" t="s">
        <v>338</v>
      </c>
      <c r="E3" s="1515" t="s">
        <v>339</v>
      </c>
      <c r="F3" s="1559" t="s">
        <v>340</v>
      </c>
      <c r="G3" s="1560"/>
      <c r="H3" s="1559" t="s">
        <v>341</v>
      </c>
      <c r="I3" s="1560"/>
      <c r="J3" s="1515" t="s">
        <v>342</v>
      </c>
      <c r="K3" s="1515" t="s">
        <v>343</v>
      </c>
    </row>
    <row r="4" spans="1:11">
      <c r="A4" s="1243"/>
      <c r="B4" s="1533" t="s">
        <v>344</v>
      </c>
      <c r="C4" s="1556"/>
      <c r="D4" s="1556"/>
      <c r="E4" s="1556"/>
      <c r="F4" s="1557" t="s">
        <v>345</v>
      </c>
      <c r="G4" s="1561" t="s">
        <v>346</v>
      </c>
      <c r="H4" s="1557" t="s">
        <v>345</v>
      </c>
      <c r="I4" s="1561" t="s">
        <v>346</v>
      </c>
      <c r="J4" s="1556"/>
      <c r="K4" s="1556"/>
    </row>
    <row r="5" spans="1:11" ht="15.75" thickBot="1">
      <c r="A5" s="1244"/>
      <c r="B5" s="1393"/>
      <c r="C5" s="1384"/>
      <c r="D5" s="1384"/>
      <c r="E5" s="1384"/>
      <c r="F5" s="1558"/>
      <c r="G5" s="1562"/>
      <c r="H5" s="1558"/>
      <c r="I5" s="1562"/>
      <c r="J5" s="1384"/>
      <c r="K5" s="1384"/>
    </row>
    <row r="6" spans="1:11" ht="15.75" thickBot="1">
      <c r="A6" s="137" t="s">
        <v>45</v>
      </c>
      <c r="B6" s="160" t="s">
        <v>46</v>
      </c>
      <c r="C6" s="152" t="s">
        <v>47</v>
      </c>
      <c r="D6" s="152" t="s">
        <v>48</v>
      </c>
      <c r="E6" s="161" t="s">
        <v>49</v>
      </c>
      <c r="F6" s="162" t="s">
        <v>50</v>
      </c>
      <c r="G6" s="161" t="s">
        <v>51</v>
      </c>
      <c r="H6" s="162" t="s">
        <v>52</v>
      </c>
      <c r="I6" s="152" t="s">
        <v>53</v>
      </c>
      <c r="J6" s="152" t="s">
        <v>229</v>
      </c>
      <c r="K6" s="153" t="s">
        <v>230</v>
      </c>
    </row>
    <row r="7" spans="1:11">
      <c r="A7" s="622">
        <v>1</v>
      </c>
      <c r="B7" s="363" t="s">
        <v>544</v>
      </c>
      <c r="C7" s="279"/>
      <c r="D7" s="163"/>
      <c r="E7" s="163"/>
      <c r="F7" s="164"/>
      <c r="G7" s="165"/>
      <c r="H7" s="156"/>
      <c r="I7" s="165"/>
      <c r="J7" s="165"/>
      <c r="K7" s="166"/>
    </row>
    <row r="8" spans="1:11" ht="15.75" thickBot="1">
      <c r="A8" s="623">
        <v>2</v>
      </c>
      <c r="B8" s="843" t="s">
        <v>516</v>
      </c>
      <c r="C8" s="280"/>
      <c r="D8" s="167" t="s">
        <v>815</v>
      </c>
      <c r="E8" s="167">
        <v>20</v>
      </c>
      <c r="F8" s="1553" t="s">
        <v>515</v>
      </c>
      <c r="G8" s="1554"/>
      <c r="H8" s="1554"/>
      <c r="I8" s="1554"/>
      <c r="J8" s="1555"/>
      <c r="K8" s="168"/>
    </row>
    <row r="9" spans="1:11">
      <c r="A9" s="623">
        <v>3</v>
      </c>
      <c r="B9" s="302" t="s">
        <v>347</v>
      </c>
      <c r="C9" s="167" t="s">
        <v>861</v>
      </c>
      <c r="D9" s="167" t="s">
        <v>863</v>
      </c>
      <c r="E9" s="167">
        <f>260-20</f>
        <v>240</v>
      </c>
      <c r="F9" s="115">
        <v>0.47</v>
      </c>
      <c r="G9" s="158">
        <f t="shared" ref="G9:G10" si="0">E9*F9</f>
        <v>112.8</v>
      </c>
      <c r="H9" s="157">
        <v>1.03</v>
      </c>
      <c r="I9" s="158">
        <f t="shared" ref="I9:I10" si="1">E9*H9</f>
        <v>247.20000000000002</v>
      </c>
      <c r="J9" s="158">
        <f t="shared" ref="J9:J10" si="2">E9*5*1.02</f>
        <v>1224</v>
      </c>
      <c r="K9" s="168"/>
    </row>
    <row r="10" spans="1:11">
      <c r="A10" s="623">
        <v>4</v>
      </c>
      <c r="B10" s="302" t="s">
        <v>347</v>
      </c>
      <c r="C10" s="167" t="s">
        <v>862</v>
      </c>
      <c r="D10" s="167" t="s">
        <v>864</v>
      </c>
      <c r="E10" s="167">
        <f>414-260</f>
        <v>154</v>
      </c>
      <c r="F10" s="115">
        <v>0.47</v>
      </c>
      <c r="G10" s="158">
        <f t="shared" si="0"/>
        <v>72.38</v>
      </c>
      <c r="H10" s="157">
        <v>1.03</v>
      </c>
      <c r="I10" s="158">
        <f t="shared" si="1"/>
        <v>158.62</v>
      </c>
      <c r="J10" s="158">
        <f t="shared" si="2"/>
        <v>785.4</v>
      </c>
      <c r="K10" s="168"/>
    </row>
    <row r="11" spans="1:11">
      <c r="A11" s="623">
        <v>5</v>
      </c>
      <c r="B11" s="302" t="s">
        <v>347</v>
      </c>
      <c r="C11" s="167" t="s">
        <v>348</v>
      </c>
      <c r="D11" s="167" t="s">
        <v>865</v>
      </c>
      <c r="E11" s="167">
        <f>1375-414</f>
        <v>961</v>
      </c>
      <c r="F11" s="115">
        <v>0.47</v>
      </c>
      <c r="G11" s="158">
        <f>E11*F11</f>
        <v>451.66999999999996</v>
      </c>
      <c r="H11" s="157">
        <v>1.03</v>
      </c>
      <c r="I11" s="158">
        <f>E11*H11</f>
        <v>989.83</v>
      </c>
      <c r="J11" s="158">
        <f>E11*5*1.02</f>
        <v>4901.1000000000004</v>
      </c>
      <c r="K11" s="169"/>
    </row>
    <row r="12" spans="1:11">
      <c r="A12" s="623">
        <v>6</v>
      </c>
      <c r="B12" s="302" t="s">
        <v>527</v>
      </c>
      <c r="C12" s="167" t="s">
        <v>524</v>
      </c>
      <c r="D12" s="167" t="s">
        <v>525</v>
      </c>
      <c r="E12" s="167">
        <v>292</v>
      </c>
      <c r="F12" s="115">
        <v>0.47</v>
      </c>
      <c r="G12" s="158">
        <f t="shared" ref="G12:G17" si="3">E12*F12</f>
        <v>137.23999999999998</v>
      </c>
      <c r="H12" s="157">
        <v>1.6</v>
      </c>
      <c r="I12" s="158">
        <f t="shared" ref="I12:I17" si="4">E12*H12</f>
        <v>467.20000000000005</v>
      </c>
      <c r="J12" s="158">
        <f>E12*5*1.02</f>
        <v>1489.2</v>
      </c>
      <c r="K12" s="169"/>
    </row>
    <row r="13" spans="1:11">
      <c r="A13" s="623">
        <v>7</v>
      </c>
      <c r="B13" s="302" t="s">
        <v>527</v>
      </c>
      <c r="C13" s="167" t="s">
        <v>526</v>
      </c>
      <c r="D13" s="167" t="s">
        <v>528</v>
      </c>
      <c r="E13" s="167">
        <v>439</v>
      </c>
      <c r="F13" s="115">
        <v>0.47</v>
      </c>
      <c r="G13" s="158">
        <f t="shared" si="3"/>
        <v>206.32999999999998</v>
      </c>
      <c r="H13" s="157">
        <v>1.6</v>
      </c>
      <c r="I13" s="158">
        <f t="shared" si="4"/>
        <v>702.40000000000009</v>
      </c>
      <c r="J13" s="158">
        <f>E13*5*1.02</f>
        <v>2238.9</v>
      </c>
      <c r="K13" s="169"/>
    </row>
    <row r="14" spans="1:11">
      <c r="A14" s="623">
        <v>8</v>
      </c>
      <c r="B14" s="302" t="s">
        <v>531</v>
      </c>
      <c r="C14" s="167" t="s">
        <v>529</v>
      </c>
      <c r="D14" s="167" t="s">
        <v>530</v>
      </c>
      <c r="E14" s="167">
        <v>693</v>
      </c>
      <c r="F14" s="115">
        <v>0.47</v>
      </c>
      <c r="G14" s="158">
        <f t="shared" si="3"/>
        <v>325.70999999999998</v>
      </c>
      <c r="H14" s="157">
        <v>1.6</v>
      </c>
      <c r="I14" s="158">
        <f t="shared" si="4"/>
        <v>1108.8</v>
      </c>
      <c r="J14" s="158"/>
      <c r="K14" s="169">
        <f>5*E14*1.02</f>
        <v>3534.3</v>
      </c>
    </row>
    <row r="15" spans="1:11">
      <c r="A15" s="623">
        <v>9</v>
      </c>
      <c r="B15" s="302" t="s">
        <v>527</v>
      </c>
      <c r="C15" s="167" t="s">
        <v>526</v>
      </c>
      <c r="D15" s="167" t="s">
        <v>532</v>
      </c>
      <c r="E15" s="167">
        <v>97</v>
      </c>
      <c r="F15" s="115">
        <v>0.47</v>
      </c>
      <c r="G15" s="158">
        <f t="shared" si="3"/>
        <v>45.589999999999996</v>
      </c>
      <c r="H15" s="157">
        <v>1.6</v>
      </c>
      <c r="I15" s="158">
        <f t="shared" si="4"/>
        <v>155.20000000000002</v>
      </c>
      <c r="J15" s="158">
        <f>E15*5*1.02</f>
        <v>494.7</v>
      </c>
      <c r="K15" s="169"/>
    </row>
    <row r="16" spans="1:11">
      <c r="A16" s="623">
        <v>10</v>
      </c>
      <c r="B16" s="302" t="s">
        <v>527</v>
      </c>
      <c r="C16" s="167" t="s">
        <v>533</v>
      </c>
      <c r="D16" s="167" t="s">
        <v>534</v>
      </c>
      <c r="E16" s="167">
        <v>364</v>
      </c>
      <c r="F16" s="115">
        <v>0.47</v>
      </c>
      <c r="G16" s="158">
        <f t="shared" si="3"/>
        <v>171.07999999999998</v>
      </c>
      <c r="H16" s="157">
        <v>1.6</v>
      </c>
      <c r="I16" s="158">
        <f t="shared" si="4"/>
        <v>582.4</v>
      </c>
      <c r="J16" s="158">
        <f>E16*5*1.02</f>
        <v>1856.4</v>
      </c>
      <c r="K16" s="169"/>
    </row>
    <row r="17" spans="1:11">
      <c r="A17" s="623">
        <v>11</v>
      </c>
      <c r="B17" s="302" t="s">
        <v>527</v>
      </c>
      <c r="C17" s="167" t="s">
        <v>524</v>
      </c>
      <c r="D17" s="167" t="s">
        <v>535</v>
      </c>
      <c r="E17" s="167">
        <v>192</v>
      </c>
      <c r="F17" s="115">
        <v>0.47</v>
      </c>
      <c r="G17" s="158">
        <f t="shared" si="3"/>
        <v>90.24</v>
      </c>
      <c r="H17" s="157">
        <v>1.6</v>
      </c>
      <c r="I17" s="158">
        <f t="shared" si="4"/>
        <v>307.20000000000005</v>
      </c>
      <c r="J17" s="158">
        <f>E17*5*1.02</f>
        <v>979.2</v>
      </c>
      <c r="K17" s="169"/>
    </row>
    <row r="18" spans="1:11">
      <c r="A18" s="623">
        <v>12</v>
      </c>
      <c r="B18" s="302"/>
      <c r="C18" s="167"/>
      <c r="D18" s="167"/>
      <c r="E18" s="167">
        <v>20</v>
      </c>
      <c r="F18" s="1553" t="s">
        <v>826</v>
      </c>
      <c r="G18" s="1554"/>
      <c r="H18" s="1554"/>
      <c r="I18" s="1554"/>
      <c r="J18" s="1555"/>
      <c r="K18" s="169"/>
    </row>
    <row r="19" spans="1:11">
      <c r="A19" s="623">
        <v>13</v>
      </c>
      <c r="B19" s="578" t="s">
        <v>164</v>
      </c>
      <c r="C19" s="579"/>
      <c r="D19" s="579"/>
      <c r="E19" s="580">
        <f>SUM(E8:E18)</f>
        <v>3472</v>
      </c>
      <c r="F19" s="580"/>
      <c r="G19" s="581">
        <f>SUM(G9:G17)</f>
        <v>1613.0399999999997</v>
      </c>
      <c r="H19" s="581"/>
      <c r="I19" s="581">
        <f>SUM(I9:I17)</f>
        <v>4718.8499999999995</v>
      </c>
      <c r="J19" s="581">
        <f>SUM(J8:J17)</f>
        <v>13968.900000000001</v>
      </c>
      <c r="K19" s="582">
        <f>SUM(K9:K17)</f>
        <v>3534.3</v>
      </c>
    </row>
    <row r="20" spans="1:11" ht="15.75" thickBot="1">
      <c r="A20" s="623">
        <v>14</v>
      </c>
      <c r="B20" s="303"/>
      <c r="C20" s="170"/>
      <c r="D20" s="170"/>
      <c r="E20" s="171"/>
      <c r="F20" s="171"/>
      <c r="G20" s="172"/>
      <c r="H20" s="171"/>
      <c r="I20" s="172"/>
      <c r="J20" s="172"/>
      <c r="K20" s="169"/>
    </row>
    <row r="21" spans="1:11">
      <c r="A21" s="623">
        <v>15</v>
      </c>
      <c r="B21" s="363" t="s">
        <v>545</v>
      </c>
      <c r="C21" s="170"/>
      <c r="D21" s="170"/>
      <c r="E21" s="171"/>
      <c r="F21" s="171"/>
      <c r="G21" s="172"/>
      <c r="H21" s="171"/>
      <c r="I21" s="172"/>
      <c r="J21" s="172"/>
      <c r="K21" s="169"/>
    </row>
    <row r="22" spans="1:11" ht="15.75" thickBot="1">
      <c r="A22" s="623">
        <v>16</v>
      </c>
      <c r="B22" s="301" t="s">
        <v>516</v>
      </c>
      <c r="C22" s="170"/>
      <c r="D22" s="167" t="s">
        <v>815</v>
      </c>
      <c r="E22" s="281">
        <v>20</v>
      </c>
      <c r="F22" s="1553" t="s">
        <v>517</v>
      </c>
      <c r="G22" s="1554"/>
      <c r="H22" s="1554"/>
      <c r="I22" s="1554"/>
      <c r="J22" s="1555"/>
      <c r="K22" s="169"/>
    </row>
    <row r="23" spans="1:11">
      <c r="A23" s="623">
        <v>17</v>
      </c>
      <c r="B23" s="302" t="s">
        <v>347</v>
      </c>
      <c r="C23" s="167" t="s">
        <v>348</v>
      </c>
      <c r="D23" s="167" t="s">
        <v>816</v>
      </c>
      <c r="E23" s="281">
        <f>516-20</f>
        <v>496</v>
      </c>
      <c r="F23" s="115">
        <v>0.47</v>
      </c>
      <c r="G23" s="158">
        <f>E23*F23</f>
        <v>233.11999999999998</v>
      </c>
      <c r="H23" s="157">
        <v>1.03</v>
      </c>
      <c r="I23" s="158">
        <f>E23*H23</f>
        <v>510.88</v>
      </c>
      <c r="J23" s="158">
        <f>E23*5*1.02</f>
        <v>2529.6</v>
      </c>
      <c r="K23" s="169"/>
    </row>
    <row r="24" spans="1:11">
      <c r="A24" s="623">
        <v>18</v>
      </c>
      <c r="B24" s="302" t="s">
        <v>347</v>
      </c>
      <c r="C24" s="167" t="s">
        <v>524</v>
      </c>
      <c r="D24" s="167" t="s">
        <v>536</v>
      </c>
      <c r="E24" s="281">
        <v>87</v>
      </c>
      <c r="F24" s="115">
        <v>0.47</v>
      </c>
      <c r="G24" s="158">
        <f>E24*F24</f>
        <v>40.89</v>
      </c>
      <c r="H24" s="157">
        <v>1.03</v>
      </c>
      <c r="I24" s="158">
        <f>E24*H24</f>
        <v>89.61</v>
      </c>
      <c r="J24" s="158">
        <f>E24*5*1.02</f>
        <v>443.7</v>
      </c>
      <c r="K24" s="169"/>
    </row>
    <row r="25" spans="1:11">
      <c r="A25" s="623">
        <v>19</v>
      </c>
      <c r="B25" s="302" t="s">
        <v>347</v>
      </c>
      <c r="C25" s="167" t="s">
        <v>348</v>
      </c>
      <c r="D25" s="167" t="s">
        <v>537</v>
      </c>
      <c r="E25" s="281">
        <v>1487</v>
      </c>
      <c r="F25" s="115">
        <v>0.47</v>
      </c>
      <c r="G25" s="158">
        <f>E25*F25</f>
        <v>698.89</v>
      </c>
      <c r="H25" s="157">
        <v>1.03</v>
      </c>
      <c r="I25" s="158">
        <f>E25*H25</f>
        <v>1531.6100000000001</v>
      </c>
      <c r="J25" s="158">
        <f>E25*5*1.02</f>
        <v>7583.7</v>
      </c>
      <c r="K25" s="169"/>
    </row>
    <row r="26" spans="1:11">
      <c r="A26" s="623">
        <v>20</v>
      </c>
      <c r="B26" s="302" t="s">
        <v>531</v>
      </c>
      <c r="C26" s="167" t="s">
        <v>526</v>
      </c>
      <c r="D26" s="167" t="s">
        <v>538</v>
      </c>
      <c r="E26" s="281">
        <v>409</v>
      </c>
      <c r="F26" s="115">
        <v>0.47</v>
      </c>
      <c r="G26" s="158">
        <f>E26*F26</f>
        <v>192.23</v>
      </c>
      <c r="H26" s="157">
        <v>1.6</v>
      </c>
      <c r="I26" s="158">
        <f>E26*H26</f>
        <v>654.40000000000009</v>
      </c>
      <c r="J26" s="172"/>
      <c r="K26" s="169">
        <f>5*E26*1.02</f>
        <v>2085.9</v>
      </c>
    </row>
    <row r="27" spans="1:11">
      <c r="A27" s="623">
        <v>21</v>
      </c>
      <c r="B27" s="302" t="s">
        <v>531</v>
      </c>
      <c r="C27" s="167" t="s">
        <v>529</v>
      </c>
      <c r="D27" s="167" t="s">
        <v>539</v>
      </c>
      <c r="E27" s="281">
        <v>117</v>
      </c>
      <c r="F27" s="115">
        <v>0.47</v>
      </c>
      <c r="G27" s="158">
        <f>E27*F27</f>
        <v>54.989999999999995</v>
      </c>
      <c r="H27" s="157">
        <v>1.6</v>
      </c>
      <c r="I27" s="158">
        <f>E27*H27</f>
        <v>187.20000000000002</v>
      </c>
      <c r="J27" s="172"/>
      <c r="K27" s="169">
        <f>5*E27*1.02</f>
        <v>596.70000000000005</v>
      </c>
    </row>
    <row r="28" spans="1:11">
      <c r="A28" s="623">
        <v>22</v>
      </c>
      <c r="B28" s="302"/>
      <c r="C28" s="167"/>
      <c r="D28" s="167"/>
      <c r="E28" s="281">
        <v>20</v>
      </c>
      <c r="F28" s="1553" t="s">
        <v>826</v>
      </c>
      <c r="G28" s="1554"/>
      <c r="H28" s="1554"/>
      <c r="I28" s="1554"/>
      <c r="J28" s="1555"/>
      <c r="K28" s="169"/>
    </row>
    <row r="29" spans="1:11">
      <c r="A29" s="623">
        <v>23</v>
      </c>
      <c r="B29" s="578" t="s">
        <v>164</v>
      </c>
      <c r="C29" s="579"/>
      <c r="D29" s="579"/>
      <c r="E29" s="580">
        <f>SUM(E22:E28)</f>
        <v>2636</v>
      </c>
      <c r="F29" s="580"/>
      <c r="G29" s="581">
        <f>SUM(G22:G27)</f>
        <v>1220.1199999999999</v>
      </c>
      <c r="H29" s="581"/>
      <c r="I29" s="581">
        <f>SUM(I22:I27)</f>
        <v>2973.7000000000003</v>
      </c>
      <c r="J29" s="581">
        <f>SUM(J22:J27)</f>
        <v>10557</v>
      </c>
      <c r="K29" s="582">
        <f>SUM(K22:K27)</f>
        <v>2682.6000000000004</v>
      </c>
    </row>
    <row r="30" spans="1:11" ht="15.75" thickBot="1">
      <c r="A30" s="623">
        <v>24</v>
      </c>
      <c r="B30" s="303"/>
      <c r="C30" s="170"/>
      <c r="D30" s="170"/>
      <c r="E30" s="171"/>
      <c r="F30" s="171"/>
      <c r="G30" s="172"/>
      <c r="H30" s="171"/>
      <c r="I30" s="172"/>
      <c r="J30" s="172"/>
      <c r="K30" s="169"/>
    </row>
    <row r="31" spans="1:11">
      <c r="A31" s="623">
        <v>25</v>
      </c>
      <c r="B31" s="363" t="s">
        <v>519</v>
      </c>
      <c r="C31" s="170"/>
      <c r="D31" s="170"/>
      <c r="E31" s="171"/>
      <c r="F31" s="171"/>
      <c r="G31" s="172"/>
      <c r="H31" s="171"/>
      <c r="I31" s="172"/>
      <c r="J31" s="172"/>
      <c r="K31" s="169"/>
    </row>
    <row r="32" spans="1:11" ht="15.75" thickBot="1">
      <c r="A32" s="623">
        <v>26</v>
      </c>
      <c r="B32" s="301" t="s">
        <v>520</v>
      </c>
      <c r="C32" s="170"/>
      <c r="D32" s="167" t="s">
        <v>815</v>
      </c>
      <c r="E32" s="281">
        <v>20</v>
      </c>
      <c r="F32" s="1553" t="s">
        <v>518</v>
      </c>
      <c r="G32" s="1554"/>
      <c r="H32" s="1554"/>
      <c r="I32" s="1554"/>
      <c r="J32" s="1555"/>
      <c r="K32" s="169"/>
    </row>
    <row r="33" spans="1:11">
      <c r="A33" s="623">
        <v>27</v>
      </c>
      <c r="B33" s="302" t="s">
        <v>347</v>
      </c>
      <c r="C33" s="167" t="s">
        <v>348</v>
      </c>
      <c r="D33" s="167" t="s">
        <v>814</v>
      </c>
      <c r="E33" s="281">
        <f>380-20</f>
        <v>360</v>
      </c>
      <c r="F33" s="115">
        <v>0.47</v>
      </c>
      <c r="G33" s="158">
        <f>E33*F33</f>
        <v>169.2</v>
      </c>
      <c r="H33" s="157">
        <v>1.03</v>
      </c>
      <c r="I33" s="158">
        <f>E33*H33</f>
        <v>370.8</v>
      </c>
      <c r="J33" s="158">
        <f>E33*5*1.02</f>
        <v>1836</v>
      </c>
      <c r="K33" s="169"/>
    </row>
    <row r="34" spans="1:11">
      <c r="A34" s="623">
        <v>28</v>
      </c>
      <c r="B34" s="302" t="s">
        <v>347</v>
      </c>
      <c r="C34" s="167" t="s">
        <v>524</v>
      </c>
      <c r="D34" s="167" t="s">
        <v>540</v>
      </c>
      <c r="E34" s="281">
        <f>456-380</f>
        <v>76</v>
      </c>
      <c r="F34" s="115">
        <v>0.47</v>
      </c>
      <c r="G34" s="158">
        <f>E34*F34</f>
        <v>35.72</v>
      </c>
      <c r="H34" s="157">
        <v>1.03</v>
      </c>
      <c r="I34" s="158">
        <f>E34*H34</f>
        <v>78.28</v>
      </c>
      <c r="J34" s="158">
        <f>E34*5*1.02</f>
        <v>387.6</v>
      </c>
      <c r="K34" s="169"/>
    </row>
    <row r="35" spans="1:11">
      <c r="A35" s="623">
        <v>29</v>
      </c>
      <c r="B35" s="302" t="s">
        <v>347</v>
      </c>
      <c r="C35" s="167" t="s">
        <v>526</v>
      </c>
      <c r="D35" s="167" t="s">
        <v>813</v>
      </c>
      <c r="E35" s="281">
        <f>492-456</f>
        <v>36</v>
      </c>
      <c r="F35" s="115">
        <v>0.47</v>
      </c>
      <c r="G35" s="158">
        <f>E35*F35</f>
        <v>16.919999999999998</v>
      </c>
      <c r="H35" s="157">
        <v>1.03</v>
      </c>
      <c r="I35" s="158">
        <f>E35*H35</f>
        <v>37.08</v>
      </c>
      <c r="J35" s="158">
        <f>E35*5*1.02</f>
        <v>183.6</v>
      </c>
      <c r="K35" s="169"/>
    </row>
    <row r="36" spans="1:11">
      <c r="A36" s="623">
        <v>30</v>
      </c>
      <c r="B36" s="578" t="s">
        <v>164</v>
      </c>
      <c r="C36" s="579"/>
      <c r="D36" s="579"/>
      <c r="E36" s="580">
        <f>SUM(E32:E35)</f>
        <v>492</v>
      </c>
      <c r="F36" s="580"/>
      <c r="G36" s="581">
        <f>SUM(G32:G35)</f>
        <v>221.83999999999997</v>
      </c>
      <c r="H36" s="581"/>
      <c r="I36" s="581">
        <f>SUM(I32:I35)</f>
        <v>486.16</v>
      </c>
      <c r="J36" s="581">
        <f>SUM(J32:J35)</f>
        <v>2407.1999999999998</v>
      </c>
      <c r="K36" s="582"/>
    </row>
    <row r="37" spans="1:11" ht="15.75" thickBot="1">
      <c r="A37" s="623">
        <v>31</v>
      </c>
      <c r="B37" s="304"/>
      <c r="C37" s="170"/>
      <c r="D37" s="170"/>
      <c r="E37" s="171"/>
      <c r="F37" s="171"/>
      <c r="G37" s="172"/>
      <c r="H37" s="171"/>
      <c r="I37" s="172"/>
      <c r="J37" s="172"/>
      <c r="K37" s="169"/>
    </row>
    <row r="38" spans="1:11">
      <c r="A38" s="623">
        <v>32</v>
      </c>
      <c r="B38" s="363" t="s">
        <v>521</v>
      </c>
      <c r="C38" s="170"/>
      <c r="D38" s="170"/>
      <c r="E38" s="171"/>
      <c r="F38" s="171"/>
      <c r="G38" s="172"/>
      <c r="H38" s="171"/>
      <c r="I38" s="172"/>
      <c r="J38" s="172"/>
      <c r="K38" s="169"/>
    </row>
    <row r="39" spans="1:11" ht="15.75" thickBot="1">
      <c r="A39" s="623">
        <v>33</v>
      </c>
      <c r="B39" s="301" t="s">
        <v>522</v>
      </c>
      <c r="C39" s="170"/>
      <c r="D39" s="167" t="s">
        <v>815</v>
      </c>
      <c r="E39" s="281">
        <v>20</v>
      </c>
      <c r="F39" s="1553" t="s">
        <v>523</v>
      </c>
      <c r="G39" s="1554"/>
      <c r="H39" s="1554"/>
      <c r="I39" s="1554"/>
      <c r="J39" s="1555"/>
      <c r="K39" s="169"/>
    </row>
    <row r="40" spans="1:11">
      <c r="A40" s="623">
        <v>34</v>
      </c>
      <c r="B40" s="302" t="s">
        <v>347</v>
      </c>
      <c r="C40" s="167" t="s">
        <v>348</v>
      </c>
      <c r="D40" s="167" t="s">
        <v>817</v>
      </c>
      <c r="E40" s="281">
        <f>688-20</f>
        <v>668</v>
      </c>
      <c r="F40" s="115">
        <v>0.47</v>
      </c>
      <c r="G40" s="158">
        <f>E40*F40</f>
        <v>313.95999999999998</v>
      </c>
      <c r="H40" s="157">
        <v>1.03</v>
      </c>
      <c r="I40" s="158">
        <f>E40*H40</f>
        <v>688.04</v>
      </c>
      <c r="J40" s="158">
        <f>E40*5*1.02</f>
        <v>3406.8</v>
      </c>
      <c r="K40" s="169"/>
    </row>
    <row r="41" spans="1:11">
      <c r="A41" s="623">
        <v>35</v>
      </c>
      <c r="B41" s="302" t="s">
        <v>347</v>
      </c>
      <c r="C41" s="167" t="s">
        <v>524</v>
      </c>
      <c r="D41" s="167" t="s">
        <v>541</v>
      </c>
      <c r="E41" s="281">
        <v>273</v>
      </c>
      <c r="F41" s="115">
        <v>0.47</v>
      </c>
      <c r="G41" s="158">
        <f>E41*F41</f>
        <v>128.31</v>
      </c>
      <c r="H41" s="157">
        <v>1.03</v>
      </c>
      <c r="I41" s="158">
        <f>E41*H41</f>
        <v>281.19</v>
      </c>
      <c r="J41" s="158">
        <f>E41*5*1.02</f>
        <v>1392.3</v>
      </c>
      <c r="K41" s="169"/>
    </row>
    <row r="42" spans="1:11">
      <c r="A42" s="623">
        <v>36</v>
      </c>
      <c r="B42" s="302"/>
      <c r="C42" s="167"/>
      <c r="D42" s="167"/>
      <c r="E42" s="281">
        <v>20</v>
      </c>
      <c r="F42" s="1553" t="s">
        <v>826</v>
      </c>
      <c r="G42" s="1554"/>
      <c r="H42" s="1554"/>
      <c r="I42" s="1554"/>
      <c r="J42" s="1555"/>
      <c r="K42" s="169"/>
    </row>
    <row r="43" spans="1:11" ht="15.75" thickBot="1">
      <c r="A43" s="623">
        <v>37</v>
      </c>
      <c r="B43" s="578" t="s">
        <v>164</v>
      </c>
      <c r="C43" s="579"/>
      <c r="D43" s="579"/>
      <c r="E43" s="580">
        <f>SUM(E39:E42)</f>
        <v>981</v>
      </c>
      <c r="F43" s="580"/>
      <c r="G43" s="581">
        <f>SUM(G39:G41)</f>
        <v>442.27</v>
      </c>
      <c r="H43" s="581"/>
      <c r="I43" s="581">
        <f>SUM(I39:I41)</f>
        <v>969.23</v>
      </c>
      <c r="J43" s="581">
        <f>SUM(J39:J41)</f>
        <v>4799.1000000000004</v>
      </c>
      <c r="K43" s="582"/>
    </row>
    <row r="44" spans="1:11" ht="15.75" thickBot="1">
      <c r="A44" s="623">
        <v>38</v>
      </c>
      <c r="B44" s="583" t="s">
        <v>254</v>
      </c>
      <c r="C44" s="584"/>
      <c r="D44" s="585"/>
      <c r="E44" s="586">
        <f>E19+E29+E36+E43</f>
        <v>7581</v>
      </c>
      <c r="F44" s="587"/>
      <c r="G44" s="588">
        <f>G19+G29+G36+G43</f>
        <v>3497.27</v>
      </c>
      <c r="H44" s="589"/>
      <c r="I44" s="588">
        <f>I19+I29+I36+I43</f>
        <v>9147.9399999999987</v>
      </c>
      <c r="J44" s="588">
        <f>J19+J29+J36+J43</f>
        <v>31732.200000000004</v>
      </c>
      <c r="K44" s="588">
        <f>K19+K29+K36+K43</f>
        <v>6216.9000000000005</v>
      </c>
    </row>
    <row r="46" spans="1:11">
      <c r="A46" s="3"/>
      <c r="B46" s="141"/>
    </row>
    <row r="47" spans="1:11">
      <c r="A47" s="45"/>
      <c r="B47" s="52"/>
      <c r="C47" s="83"/>
      <c r="D47" s="83"/>
    </row>
  </sheetData>
  <mergeCells count="20">
    <mergeCell ref="K3:K5"/>
    <mergeCell ref="J3:J5"/>
    <mergeCell ref="G4:G5"/>
    <mergeCell ref="H4:H5"/>
    <mergeCell ref="I4:I5"/>
    <mergeCell ref="H3:I3"/>
    <mergeCell ref="F42:J42"/>
    <mergeCell ref="F32:J32"/>
    <mergeCell ref="A3:A5"/>
    <mergeCell ref="C3:C5"/>
    <mergeCell ref="D3:D5"/>
    <mergeCell ref="E3:E5"/>
    <mergeCell ref="B4:B5"/>
    <mergeCell ref="F4:F5"/>
    <mergeCell ref="F18:J18"/>
    <mergeCell ref="F28:J28"/>
    <mergeCell ref="F39:J39"/>
    <mergeCell ref="F8:J8"/>
    <mergeCell ref="F3:G3"/>
    <mergeCell ref="F22:J22"/>
  </mergeCells>
  <phoneticPr fontId="59" type="noConversion"/>
  <pageMargins left="0.11811023622047245" right="0" top="0.74803149606299213" bottom="0.74803149606299213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opLeftCell="A7" workbookViewId="0">
      <selection activeCell="M19" sqref="M19"/>
    </sheetView>
    <sheetView topLeftCell="A7" workbookViewId="1">
      <selection activeCell="G24" sqref="G24"/>
    </sheetView>
  </sheetViews>
  <sheetFormatPr defaultRowHeight="15"/>
  <cols>
    <col min="1" max="1" width="7" customWidth="1"/>
    <col min="17" max="17" width="10.85546875" customWidth="1"/>
  </cols>
  <sheetData>
    <row r="1" spans="1:26" ht="15.75">
      <c r="A1" s="145" t="s">
        <v>349</v>
      </c>
    </row>
    <row r="2" spans="1:26" ht="16.5" thickBot="1">
      <c r="A2" s="145"/>
    </row>
    <row r="3" spans="1:26" ht="15.75" thickBot="1">
      <c r="A3" s="1242" t="s">
        <v>41</v>
      </c>
      <c r="B3" s="1593" t="s">
        <v>350</v>
      </c>
      <c r="C3" s="1594"/>
      <c r="D3" s="1515" t="s">
        <v>351</v>
      </c>
      <c r="E3" s="1515" t="s">
        <v>352</v>
      </c>
      <c r="F3" s="1524" t="s">
        <v>350</v>
      </c>
      <c r="G3" s="1525"/>
      <c r="H3" s="1525"/>
      <c r="I3" s="1525"/>
      <c r="J3" s="1525"/>
      <c r="K3" s="1525"/>
      <c r="L3" s="1525"/>
      <c r="M3" s="1525"/>
      <c r="N3" s="1525"/>
      <c r="O3" s="1525"/>
      <c r="P3" s="1525"/>
      <c r="Q3" s="1610"/>
      <c r="R3" s="1607" t="s">
        <v>196</v>
      </c>
      <c r="S3" s="1608"/>
      <c r="T3" s="1608"/>
      <c r="U3" s="1608"/>
      <c r="V3" s="1609"/>
      <c r="W3" s="1607" t="s">
        <v>197</v>
      </c>
      <c r="X3" s="1609"/>
      <c r="Y3" s="1443" t="s">
        <v>353</v>
      </c>
      <c r="Z3" s="1599" t="s">
        <v>100</v>
      </c>
    </row>
    <row r="4" spans="1:26" ht="15.75" thickBot="1">
      <c r="A4" s="1243"/>
      <c r="B4" s="1595"/>
      <c r="C4" s="1596"/>
      <c r="D4" s="1556"/>
      <c r="E4" s="1556"/>
      <c r="F4" s="1604" t="s">
        <v>354</v>
      </c>
      <c r="G4" s="1604" t="s">
        <v>355</v>
      </c>
      <c r="H4" s="1531" t="s">
        <v>356</v>
      </c>
      <c r="I4" s="1439"/>
      <c r="J4" s="1439"/>
      <c r="K4" s="1532"/>
      <c r="L4" s="1443" t="s">
        <v>208</v>
      </c>
      <c r="M4" s="1523" t="s">
        <v>357</v>
      </c>
      <c r="N4" s="1604" t="s">
        <v>358</v>
      </c>
      <c r="O4" s="1604" t="s">
        <v>359</v>
      </c>
      <c r="P4" s="1604" t="s">
        <v>360</v>
      </c>
      <c r="Q4" s="1443" t="s">
        <v>361</v>
      </c>
      <c r="R4" s="1441" t="s">
        <v>362</v>
      </c>
      <c r="S4" s="1601"/>
      <c r="T4" s="1441" t="s">
        <v>215</v>
      </c>
      <c r="U4" s="1601"/>
      <c r="V4" s="1243" t="s">
        <v>216</v>
      </c>
      <c r="W4" s="1242" t="s">
        <v>363</v>
      </c>
      <c r="X4" s="1242" t="s">
        <v>364</v>
      </c>
      <c r="Y4" s="1530"/>
      <c r="Z4" s="1606"/>
    </row>
    <row r="5" spans="1:26" ht="15.75" thickBot="1">
      <c r="A5" s="1243"/>
      <c r="B5" s="1597"/>
      <c r="C5" s="1598"/>
      <c r="D5" s="1556"/>
      <c r="E5" s="1556"/>
      <c r="F5" s="1556"/>
      <c r="G5" s="1556"/>
      <c r="H5" s="1531" t="s">
        <v>365</v>
      </c>
      <c r="I5" s="1605"/>
      <c r="J5" s="1531" t="s">
        <v>366</v>
      </c>
      <c r="K5" s="1532"/>
      <c r="L5" s="1530"/>
      <c r="M5" s="1523"/>
      <c r="N5" s="1556"/>
      <c r="O5" s="1556"/>
      <c r="P5" s="1556"/>
      <c r="Q5" s="1530"/>
      <c r="R5" s="1442"/>
      <c r="S5" s="1602"/>
      <c r="T5" s="1442"/>
      <c r="U5" s="1602"/>
      <c r="V5" s="1243"/>
      <c r="W5" s="1243"/>
      <c r="X5" s="1243"/>
      <c r="Y5" s="1530"/>
      <c r="Z5" s="1606"/>
    </row>
    <row r="6" spans="1:26" ht="15.75" thickBot="1">
      <c r="A6" s="1243"/>
      <c r="B6" s="1599" t="s">
        <v>367</v>
      </c>
      <c r="C6" s="1599" t="s">
        <v>368</v>
      </c>
      <c r="D6" s="1384"/>
      <c r="E6" s="1384"/>
      <c r="F6" s="1384"/>
      <c r="G6" s="1384"/>
      <c r="H6" s="377" t="s">
        <v>369</v>
      </c>
      <c r="I6" s="377" t="s">
        <v>370</v>
      </c>
      <c r="J6" s="377" t="s">
        <v>369</v>
      </c>
      <c r="K6" s="453" t="s">
        <v>370</v>
      </c>
      <c r="L6" s="1530"/>
      <c r="M6" s="1603"/>
      <c r="N6" s="1384"/>
      <c r="O6" s="1384"/>
      <c r="P6" s="1384"/>
      <c r="Q6" s="1444"/>
      <c r="R6" s="395" t="s">
        <v>371</v>
      </c>
      <c r="S6" s="395" t="s">
        <v>372</v>
      </c>
      <c r="T6" s="395" t="s">
        <v>373</v>
      </c>
      <c r="U6" s="412" t="s">
        <v>374</v>
      </c>
      <c r="V6" s="1244"/>
      <c r="W6" s="1244"/>
      <c r="X6" s="1244"/>
      <c r="Y6" s="1530"/>
      <c r="Z6" s="1606"/>
    </row>
    <row r="7" spans="1:26" ht="15.75" thickBot="1">
      <c r="A7" s="1243"/>
      <c r="B7" s="1600"/>
      <c r="C7" s="1600"/>
      <c r="D7" s="377" t="s">
        <v>281</v>
      </c>
      <c r="E7" s="377" t="s">
        <v>281</v>
      </c>
      <c r="F7" s="377" t="s">
        <v>281</v>
      </c>
      <c r="G7" s="377" t="s">
        <v>65</v>
      </c>
      <c r="H7" s="377" t="s">
        <v>65</v>
      </c>
      <c r="I7" s="377" t="s">
        <v>65</v>
      </c>
      <c r="J7" s="377" t="s">
        <v>65</v>
      </c>
      <c r="K7" s="453" t="s">
        <v>65</v>
      </c>
      <c r="L7" s="1444"/>
      <c r="M7" s="377" t="s">
        <v>65</v>
      </c>
      <c r="N7" s="377" t="s">
        <v>375</v>
      </c>
      <c r="O7" s="377" t="s">
        <v>375</v>
      </c>
      <c r="P7" s="377" t="s">
        <v>375</v>
      </c>
      <c r="Q7" s="377" t="s">
        <v>65</v>
      </c>
      <c r="R7" s="395" t="s">
        <v>17</v>
      </c>
      <c r="S7" s="395" t="s">
        <v>17</v>
      </c>
      <c r="T7" s="395" t="s">
        <v>17</v>
      </c>
      <c r="U7" s="395" t="s">
        <v>17</v>
      </c>
      <c r="V7" s="395" t="s">
        <v>17</v>
      </c>
      <c r="W7" s="454" t="s">
        <v>17</v>
      </c>
      <c r="X7" s="395" t="s">
        <v>17</v>
      </c>
      <c r="Y7" s="1444"/>
      <c r="Z7" s="1600"/>
    </row>
    <row r="8" spans="1:26" ht="15.75" thickBot="1">
      <c r="A8" s="57" t="s">
        <v>45</v>
      </c>
      <c r="B8" s="58" t="s">
        <v>46</v>
      </c>
      <c r="C8" s="92" t="s">
        <v>47</v>
      </c>
      <c r="D8" s="92" t="s">
        <v>48</v>
      </c>
      <c r="E8" s="92" t="s">
        <v>49</v>
      </c>
      <c r="F8" s="92" t="s">
        <v>50</v>
      </c>
      <c r="G8" s="92" t="s">
        <v>51</v>
      </c>
      <c r="H8" s="92" t="s">
        <v>52</v>
      </c>
      <c r="I8" s="92" t="s">
        <v>53</v>
      </c>
      <c r="J8" s="92" t="s">
        <v>229</v>
      </c>
      <c r="K8" s="92" t="s">
        <v>230</v>
      </c>
      <c r="L8" s="92" t="s">
        <v>231</v>
      </c>
      <c r="M8" s="92" t="s">
        <v>232</v>
      </c>
      <c r="N8" s="92" t="s">
        <v>233</v>
      </c>
      <c r="O8" s="92" t="s">
        <v>234</v>
      </c>
      <c r="P8" s="92" t="s">
        <v>235</v>
      </c>
      <c r="Q8" s="92" t="s">
        <v>236</v>
      </c>
      <c r="R8" s="92" t="s">
        <v>237</v>
      </c>
      <c r="S8" s="92" t="s">
        <v>238</v>
      </c>
      <c r="T8" s="92" t="s">
        <v>239</v>
      </c>
      <c r="U8" s="92" t="s">
        <v>240</v>
      </c>
      <c r="V8" s="92" t="s">
        <v>241</v>
      </c>
      <c r="W8" s="92" t="s">
        <v>242</v>
      </c>
      <c r="X8" s="92" t="s">
        <v>243</v>
      </c>
      <c r="Y8" s="58" t="s">
        <v>244</v>
      </c>
      <c r="Z8" s="173" t="s">
        <v>245</v>
      </c>
    </row>
    <row r="9" spans="1:26">
      <c r="A9" s="174">
        <v>1</v>
      </c>
      <c r="B9" s="823" t="s">
        <v>8</v>
      </c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6"/>
      <c r="Z9" s="177"/>
    </row>
    <row r="10" spans="1:26" ht="90">
      <c r="A10" s="174">
        <v>2</v>
      </c>
      <c r="B10" s="174" t="s">
        <v>376</v>
      </c>
      <c r="C10" s="821" t="s">
        <v>697</v>
      </c>
      <c r="D10" s="462">
        <v>71.25</v>
      </c>
      <c r="E10" s="462">
        <v>70.3</v>
      </c>
      <c r="F10" s="78">
        <v>69.64</v>
      </c>
      <c r="G10" s="78">
        <f>D10-F10</f>
        <v>1.6099999999999994</v>
      </c>
      <c r="H10" s="75">
        <v>68</v>
      </c>
      <c r="I10" s="75">
        <v>4</v>
      </c>
      <c r="J10" s="75">
        <v>76.599999999999994</v>
      </c>
      <c r="K10" s="75">
        <v>10.88</v>
      </c>
      <c r="L10" s="825" t="s">
        <v>857</v>
      </c>
      <c r="M10" s="75"/>
      <c r="N10" s="77">
        <v>136</v>
      </c>
      <c r="O10" s="77">
        <v>950</v>
      </c>
      <c r="P10" s="77">
        <f>O10*0.6</f>
        <v>570</v>
      </c>
      <c r="Q10" s="75" t="s">
        <v>824</v>
      </c>
      <c r="R10" s="75"/>
      <c r="S10" s="75"/>
      <c r="T10" s="78">
        <f>(23.28*76.6)/10000</f>
        <v>0.17832480000000001</v>
      </c>
      <c r="U10" s="183"/>
      <c r="V10" s="75"/>
      <c r="W10" s="78">
        <f>SUM(R10:T10)</f>
        <v>0.17832480000000001</v>
      </c>
      <c r="X10" s="75"/>
      <c r="Y10" s="178" t="s">
        <v>700</v>
      </c>
      <c r="Z10" s="989" t="s">
        <v>882</v>
      </c>
    </row>
    <row r="11" spans="1:26">
      <c r="A11" s="174">
        <v>3</v>
      </c>
      <c r="B11" s="824" t="s">
        <v>445</v>
      </c>
      <c r="C11" s="822"/>
      <c r="D11" s="179"/>
      <c r="E11" s="455"/>
      <c r="F11" s="455"/>
      <c r="G11" s="455"/>
      <c r="H11" s="179"/>
      <c r="I11" s="179"/>
      <c r="J11" s="179"/>
      <c r="K11" s="179"/>
      <c r="L11" s="179"/>
      <c r="M11" s="179"/>
      <c r="N11" s="456"/>
      <c r="O11" s="179"/>
      <c r="P11" s="456"/>
      <c r="Q11" s="179"/>
      <c r="R11" s="179"/>
      <c r="S11" s="179"/>
      <c r="T11" s="179"/>
      <c r="U11" s="179"/>
      <c r="V11" s="179"/>
      <c r="W11" s="179"/>
      <c r="X11" s="179"/>
      <c r="Y11" s="457"/>
      <c r="Z11" s="180"/>
    </row>
    <row r="12" spans="1:26" ht="39" thickBot="1">
      <c r="A12" s="174">
        <v>4</v>
      </c>
      <c r="B12" s="174" t="s">
        <v>698</v>
      </c>
      <c r="C12" s="821" t="s">
        <v>699</v>
      </c>
      <c r="D12" s="179">
        <v>72.7</v>
      </c>
      <c r="E12" s="179">
        <v>71.41</v>
      </c>
      <c r="F12" s="78">
        <f>E12-0.5</f>
        <v>70.91</v>
      </c>
      <c r="G12" s="78">
        <f>D12-F12</f>
        <v>1.7900000000000063</v>
      </c>
      <c r="H12" s="179">
        <v>66</v>
      </c>
      <c r="I12" s="179">
        <v>4</v>
      </c>
      <c r="J12" s="179">
        <v>74.95</v>
      </c>
      <c r="K12" s="179">
        <v>11.16</v>
      </c>
      <c r="L12" s="825" t="s">
        <v>857</v>
      </c>
      <c r="M12" s="179"/>
      <c r="N12" s="456">
        <v>132</v>
      </c>
      <c r="O12" s="456">
        <v>984</v>
      </c>
      <c r="P12" s="77">
        <f>O12*0.6</f>
        <v>590.4</v>
      </c>
      <c r="Q12" s="179" t="s">
        <v>825</v>
      </c>
      <c r="R12" s="179"/>
      <c r="S12" s="179"/>
      <c r="T12" s="78">
        <f>(24.28*74.95)/10000</f>
        <v>0.18197860000000002</v>
      </c>
      <c r="U12" s="179"/>
      <c r="V12" s="179"/>
      <c r="W12" s="78">
        <f>SUM(R12:T12)</f>
        <v>0.18197860000000002</v>
      </c>
      <c r="X12" s="179"/>
      <c r="Y12" s="178" t="s">
        <v>700</v>
      </c>
      <c r="Z12" s="180"/>
    </row>
    <row r="13" spans="1:26" ht="15.75" thickBot="1">
      <c r="A13" s="820"/>
      <c r="B13" s="182" t="s">
        <v>2</v>
      </c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0">
        <f>SUM(N10:N12)</f>
        <v>268</v>
      </c>
      <c r="O13" s="500">
        <f>SUM(O10:O12)</f>
        <v>1934</v>
      </c>
      <c r="P13" s="500">
        <f>SUM(P10:P12)</f>
        <v>1160.4000000000001</v>
      </c>
      <c r="Q13" s="181"/>
      <c r="R13" s="181"/>
      <c r="S13" s="181"/>
      <c r="T13" s="459">
        <f>SUM(T10:T12)</f>
        <v>0.36030340000000005</v>
      </c>
      <c r="U13" s="459"/>
      <c r="V13" s="181"/>
      <c r="W13" s="459">
        <f>SUM(W10:W12)</f>
        <v>0.36030340000000005</v>
      </c>
      <c r="X13" s="181"/>
      <c r="Y13" s="181"/>
      <c r="Z13" s="182"/>
    </row>
    <row r="14" spans="1:26">
      <c r="A14" s="3"/>
      <c r="B14" s="141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ht="15.75" thickBot="1">
      <c r="A15" s="1085" t="s">
        <v>890</v>
      </c>
      <c r="B15" s="51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>
      <c r="A16" s="1575" t="s">
        <v>891</v>
      </c>
      <c r="B16" s="1578" t="s">
        <v>42</v>
      </c>
      <c r="C16" s="1579"/>
      <c r="D16" s="1579"/>
      <c r="E16" s="1580"/>
      <c r="F16" s="1587" t="s">
        <v>11</v>
      </c>
      <c r="G16" s="1590" t="s">
        <v>43</v>
      </c>
      <c r="H16" s="1591"/>
      <c r="I16" s="1567" t="s">
        <v>2</v>
      </c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>
      <c r="A17" s="1576"/>
      <c r="B17" s="1581"/>
      <c r="C17" s="1582"/>
      <c r="D17" s="1582"/>
      <c r="E17" s="1583"/>
      <c r="F17" s="1588"/>
      <c r="G17" s="1592" t="s">
        <v>8</v>
      </c>
      <c r="H17" s="1592" t="s">
        <v>445</v>
      </c>
      <c r="I17" s="1568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ht="15.75" thickBot="1">
      <c r="A18" s="1577"/>
      <c r="B18" s="1584"/>
      <c r="C18" s="1585"/>
      <c r="D18" s="1585"/>
      <c r="E18" s="1586"/>
      <c r="F18" s="1589"/>
      <c r="G18" s="1589"/>
      <c r="H18" s="1589"/>
      <c r="I18" s="1569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ht="15.75" thickBot="1">
      <c r="A19" s="57" t="s">
        <v>45</v>
      </c>
      <c r="B19" s="1279" t="s">
        <v>46</v>
      </c>
      <c r="C19" s="1280"/>
      <c r="D19" s="1280"/>
      <c r="E19" s="1281"/>
      <c r="F19" s="1043" t="s">
        <v>47</v>
      </c>
      <c r="G19" s="1043" t="s">
        <v>48</v>
      </c>
      <c r="H19" s="1043" t="s">
        <v>49</v>
      </c>
      <c r="I19" s="93" t="s">
        <v>50</v>
      </c>
      <c r="J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pans="1:26" ht="30" customHeight="1">
      <c r="A20" s="1087">
        <v>1</v>
      </c>
      <c r="B20" s="1570" t="s">
        <v>892</v>
      </c>
      <c r="C20" s="1571"/>
      <c r="D20" s="1571"/>
      <c r="E20" s="1571"/>
      <c r="F20" s="1571"/>
      <c r="G20" s="1571"/>
      <c r="H20" s="1571"/>
      <c r="I20" s="1572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pans="1:26">
      <c r="A21" s="233">
        <v>2</v>
      </c>
      <c r="B21" s="1573" t="s">
        <v>893</v>
      </c>
      <c r="C21" s="1574"/>
      <c r="D21" s="1574"/>
      <c r="E21" s="1574"/>
      <c r="F21" s="75" t="s">
        <v>24</v>
      </c>
      <c r="G21" s="75">
        <v>1</v>
      </c>
      <c r="H21" s="75">
        <v>2</v>
      </c>
      <c r="I21" s="1088">
        <f>SUM(G21:H21)</f>
        <v>3</v>
      </c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</row>
    <row r="22" spans="1:26">
      <c r="A22" s="233">
        <v>3</v>
      </c>
      <c r="B22" s="1573" t="s">
        <v>894</v>
      </c>
      <c r="C22" s="1574"/>
      <c r="D22" s="1574"/>
      <c r="E22" s="1574"/>
      <c r="F22" s="75" t="s">
        <v>282</v>
      </c>
      <c r="G22" s="1065">
        <f>(3.25*10)*G21</f>
        <v>32.5</v>
      </c>
      <c r="H22" s="75">
        <f>(3.25*10)*H21</f>
        <v>65</v>
      </c>
      <c r="I22" s="1089">
        <f t="shared" ref="I22:I26" si="0">SUM(G22:H22)</f>
        <v>97.5</v>
      </c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</row>
    <row r="23" spans="1:26" ht="30" customHeight="1">
      <c r="A23" s="233">
        <v>4</v>
      </c>
      <c r="B23" s="1563" t="s">
        <v>895</v>
      </c>
      <c r="C23" s="1564"/>
      <c r="D23" s="1564"/>
      <c r="E23" s="1564"/>
      <c r="F23" s="75" t="s">
        <v>282</v>
      </c>
      <c r="G23" s="1065">
        <f>G22*0.6</f>
        <v>19.5</v>
      </c>
      <c r="H23" s="75">
        <f>H22*0.6</f>
        <v>39</v>
      </c>
      <c r="I23" s="1089">
        <f t="shared" si="0"/>
        <v>58.5</v>
      </c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</row>
    <row r="24" spans="1:26" ht="30" customHeight="1">
      <c r="A24" s="233">
        <v>5</v>
      </c>
      <c r="B24" s="1563" t="s">
        <v>896</v>
      </c>
      <c r="C24" s="1564"/>
      <c r="D24" s="1564"/>
      <c r="E24" s="1564"/>
      <c r="F24" s="75" t="s">
        <v>282</v>
      </c>
      <c r="G24" s="75">
        <f>(0.8*10)*G21</f>
        <v>8</v>
      </c>
      <c r="H24" s="75">
        <f>(0.8*10)*H21</f>
        <v>16</v>
      </c>
      <c r="I24" s="1089">
        <f t="shared" si="0"/>
        <v>24</v>
      </c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</row>
    <row r="25" spans="1:26">
      <c r="A25" s="233">
        <v>6</v>
      </c>
      <c r="B25" s="1563" t="s">
        <v>897</v>
      </c>
      <c r="C25" s="1564"/>
      <c r="D25" s="1564"/>
      <c r="E25" s="1564"/>
      <c r="F25" s="75" t="s">
        <v>899</v>
      </c>
      <c r="G25" s="78">
        <f>(6*13)*G21/10000</f>
        <v>7.7999999999999996E-3</v>
      </c>
      <c r="H25" s="78">
        <f>(6*13)*H21/10000</f>
        <v>1.5599999999999999E-2</v>
      </c>
      <c r="I25" s="1090">
        <f t="shared" si="0"/>
        <v>2.3399999999999997E-2</v>
      </c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</row>
    <row r="26" spans="1:26" ht="15.75" thickBot="1">
      <c r="A26" s="233">
        <v>7</v>
      </c>
      <c r="B26" s="1565" t="s">
        <v>898</v>
      </c>
      <c r="C26" s="1566"/>
      <c r="D26" s="1566"/>
      <c r="E26" s="1566"/>
      <c r="F26" s="112" t="s">
        <v>899</v>
      </c>
      <c r="G26" s="1091">
        <f>G25</f>
        <v>7.7999999999999996E-3</v>
      </c>
      <c r="H26" s="1091">
        <f>H25</f>
        <v>1.5599999999999999E-2</v>
      </c>
      <c r="I26" s="1092">
        <f t="shared" si="0"/>
        <v>2.3399999999999997E-2</v>
      </c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</row>
    <row r="27" spans="1:26">
      <c r="A27" s="458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</row>
    <row r="28" spans="1:26">
      <c r="A28" s="458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</row>
    <row r="29" spans="1:26">
      <c r="A29" s="458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</row>
    <row r="30" spans="1:26">
      <c r="A30" s="458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</row>
    <row r="31" spans="1:26">
      <c r="A31" s="151"/>
      <c r="B31" s="185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</row>
    <row r="32" spans="1:26">
      <c r="A32" s="3"/>
      <c r="B32" s="141"/>
      <c r="C32" s="141"/>
      <c r="D32" s="141"/>
      <c r="E32" s="141"/>
      <c r="F32" s="141"/>
      <c r="G32" s="141"/>
      <c r="H32" s="142"/>
      <c r="I32" s="142"/>
      <c r="J32" s="142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7"/>
    </row>
    <row r="33" spans="1:26">
      <c r="A33" s="45"/>
      <c r="B33" s="51"/>
      <c r="C33" s="51"/>
      <c r="D33" s="50"/>
      <c r="E33" s="51"/>
      <c r="F33" s="51"/>
      <c r="G33" s="51"/>
      <c r="H33" s="51"/>
      <c r="I33" s="51"/>
      <c r="J33" s="51"/>
      <c r="K33" s="186"/>
      <c r="L33" s="186"/>
      <c r="M33" s="186"/>
      <c r="N33" s="188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7"/>
    </row>
    <row r="34" spans="1:26">
      <c r="A34" s="45"/>
      <c r="B34" s="51"/>
      <c r="C34" s="51"/>
      <c r="D34" s="50"/>
      <c r="E34" s="51"/>
      <c r="F34" s="51"/>
      <c r="G34" s="51"/>
      <c r="H34" s="51"/>
      <c r="I34" s="51"/>
      <c r="J34" s="51"/>
      <c r="K34" s="186"/>
      <c r="L34" s="186"/>
      <c r="M34" s="186"/>
      <c r="N34" s="188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7"/>
    </row>
    <row r="35" spans="1:26">
      <c r="A35" s="45"/>
      <c r="B35" s="51"/>
      <c r="C35" s="51"/>
      <c r="D35" s="50"/>
      <c r="E35" s="51"/>
      <c r="F35" s="51"/>
      <c r="G35" s="51"/>
      <c r="H35" s="51"/>
      <c r="I35" s="51"/>
      <c r="J35" s="51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7"/>
    </row>
    <row r="36" spans="1:26">
      <c r="A36" s="189"/>
      <c r="B36" s="52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7"/>
    </row>
    <row r="37" spans="1:26">
      <c r="A37" s="186"/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7"/>
    </row>
  </sheetData>
  <mergeCells count="42">
    <mergeCell ref="Z3:Z7"/>
    <mergeCell ref="F4:F6"/>
    <mergeCell ref="G4:G6"/>
    <mergeCell ref="H4:K4"/>
    <mergeCell ref="L4:L7"/>
    <mergeCell ref="R3:V3"/>
    <mergeCell ref="J5:K5"/>
    <mergeCell ref="O4:O6"/>
    <mergeCell ref="W4:W6"/>
    <mergeCell ref="W3:X3"/>
    <mergeCell ref="Q4:Q6"/>
    <mergeCell ref="Y3:Y7"/>
    <mergeCell ref="R4:S5"/>
    <mergeCell ref="F3:Q3"/>
    <mergeCell ref="V4:V6"/>
    <mergeCell ref="X4:X6"/>
    <mergeCell ref="T4:U5"/>
    <mergeCell ref="C6:C7"/>
    <mergeCell ref="M4:M6"/>
    <mergeCell ref="N4:N6"/>
    <mergeCell ref="P4:P6"/>
    <mergeCell ref="H5:I5"/>
    <mergeCell ref="A3:A7"/>
    <mergeCell ref="B3:C5"/>
    <mergeCell ref="D3:D6"/>
    <mergeCell ref="E3:E6"/>
    <mergeCell ref="B6:B7"/>
    <mergeCell ref="A16:A18"/>
    <mergeCell ref="B16:E18"/>
    <mergeCell ref="F16:F18"/>
    <mergeCell ref="G16:H16"/>
    <mergeCell ref="G17:G18"/>
    <mergeCell ref="H17:H18"/>
    <mergeCell ref="B23:E23"/>
    <mergeCell ref="B24:E24"/>
    <mergeCell ref="B25:E25"/>
    <mergeCell ref="B26:E26"/>
    <mergeCell ref="I16:I18"/>
    <mergeCell ref="B19:E19"/>
    <mergeCell ref="B20:I20"/>
    <mergeCell ref="B21:E21"/>
    <mergeCell ref="B22:E22"/>
  </mergeCells>
  <phoneticPr fontId="59" type="noConversion"/>
  <pageMargins left="0.19685039370078741" right="0" top="0.74803149606299213" bottom="0.74803149606299213" header="0.31496062992125984" footer="0.31496062992125984"/>
  <pageSetup paperSize="9" scale="6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0"/>
  <sheetViews>
    <sheetView workbookViewId="0"/>
    <sheetView workbookViewId="1"/>
  </sheetViews>
  <sheetFormatPr defaultRowHeight="15"/>
  <sheetData>
    <row r="1" spans="1:18" ht="15.75">
      <c r="A1" s="416" t="s">
        <v>377</v>
      </c>
      <c r="B1" s="417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</row>
    <row r="2" spans="1:18" ht="15.75" thickBot="1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</row>
    <row r="3" spans="1:18" ht="15.75" thickBot="1">
      <c r="A3" s="1625" t="s">
        <v>41</v>
      </c>
      <c r="B3" s="1628" t="s">
        <v>378</v>
      </c>
      <c r="C3" s="1619" t="s">
        <v>379</v>
      </c>
      <c r="D3" s="1619" t="s">
        <v>380</v>
      </c>
      <c r="E3" s="1619" t="s">
        <v>381</v>
      </c>
      <c r="F3" s="1617" t="s">
        <v>382</v>
      </c>
      <c r="G3" s="1636"/>
      <c r="H3" s="1636"/>
      <c r="I3" s="1636"/>
      <c r="J3" s="1636"/>
      <c r="K3" s="1618"/>
      <c r="L3" s="1617" t="s">
        <v>210</v>
      </c>
      <c r="M3" s="1618"/>
      <c r="N3" s="1617" t="s">
        <v>383</v>
      </c>
      <c r="O3" s="1636"/>
      <c r="P3" s="1636"/>
      <c r="Q3" s="1618"/>
      <c r="R3" s="1622" t="s">
        <v>100</v>
      </c>
    </row>
    <row r="4" spans="1:18" ht="15.75" thickBot="1">
      <c r="A4" s="1626"/>
      <c r="B4" s="1629"/>
      <c r="C4" s="1620"/>
      <c r="D4" s="1620"/>
      <c r="E4" s="1620"/>
      <c r="F4" s="1619" t="s">
        <v>694</v>
      </c>
      <c r="G4" s="1619" t="s">
        <v>384</v>
      </c>
      <c r="H4" s="1619" t="s">
        <v>385</v>
      </c>
      <c r="I4" s="1619" t="s">
        <v>386</v>
      </c>
      <c r="J4" s="1619" t="s">
        <v>387</v>
      </c>
      <c r="K4" s="1622" t="s">
        <v>208</v>
      </c>
      <c r="L4" s="1619" t="s">
        <v>388</v>
      </c>
      <c r="M4" s="1619" t="s">
        <v>192</v>
      </c>
      <c r="N4" s="1637" t="s">
        <v>211</v>
      </c>
      <c r="O4" s="1638"/>
      <c r="P4" s="1639"/>
      <c r="Q4" s="1631" t="s">
        <v>2</v>
      </c>
      <c r="R4" s="1623"/>
    </row>
    <row r="5" spans="1:18" ht="15.75" thickBot="1">
      <c r="A5" s="1626"/>
      <c r="B5" s="1629"/>
      <c r="C5" s="1620"/>
      <c r="D5" s="1620"/>
      <c r="E5" s="1620"/>
      <c r="F5" s="1620"/>
      <c r="G5" s="1620"/>
      <c r="H5" s="1620"/>
      <c r="I5" s="1620"/>
      <c r="J5" s="1620"/>
      <c r="K5" s="1623"/>
      <c r="L5" s="1620"/>
      <c r="M5" s="1620"/>
      <c r="N5" s="1634" t="s">
        <v>389</v>
      </c>
      <c r="O5" s="1635"/>
      <c r="P5" s="418" t="s">
        <v>212</v>
      </c>
      <c r="Q5" s="1632"/>
      <c r="R5" s="1623"/>
    </row>
    <row r="6" spans="1:18" ht="15.75" thickBot="1">
      <c r="A6" s="1626"/>
      <c r="B6" s="1629"/>
      <c r="C6" s="1621"/>
      <c r="D6" s="1621"/>
      <c r="E6" s="1621"/>
      <c r="F6" s="1621"/>
      <c r="G6" s="1621"/>
      <c r="H6" s="1621"/>
      <c r="I6" s="1621"/>
      <c r="J6" s="1621"/>
      <c r="K6" s="1623"/>
      <c r="L6" s="1621"/>
      <c r="M6" s="1621"/>
      <c r="N6" s="419" t="s">
        <v>220</v>
      </c>
      <c r="O6" s="419" t="s">
        <v>221</v>
      </c>
      <c r="P6" s="419" t="s">
        <v>220</v>
      </c>
      <c r="Q6" s="1633"/>
      <c r="R6" s="1623"/>
    </row>
    <row r="7" spans="1:18" ht="15.75" thickBot="1">
      <c r="A7" s="1627"/>
      <c r="B7" s="1630"/>
      <c r="C7" s="420" t="s">
        <v>65</v>
      </c>
      <c r="D7" s="420" t="s">
        <v>65</v>
      </c>
      <c r="E7" s="420" t="s">
        <v>65</v>
      </c>
      <c r="F7" s="420" t="s">
        <v>65</v>
      </c>
      <c r="G7" s="420" t="s">
        <v>65</v>
      </c>
      <c r="H7" s="420" t="s">
        <v>65</v>
      </c>
      <c r="I7" s="420" t="s">
        <v>65</v>
      </c>
      <c r="J7" s="421" t="s">
        <v>390</v>
      </c>
      <c r="K7" s="1624"/>
      <c r="L7" s="420" t="s">
        <v>695</v>
      </c>
      <c r="M7" s="420" t="s">
        <v>695</v>
      </c>
      <c r="N7" s="420" t="s">
        <v>696</v>
      </c>
      <c r="O7" s="420" t="s">
        <v>696</v>
      </c>
      <c r="P7" s="420" t="s">
        <v>696</v>
      </c>
      <c r="Q7" s="420" t="s">
        <v>696</v>
      </c>
      <c r="R7" s="1624"/>
    </row>
    <row r="8" spans="1:18" ht="15.75" thickBot="1">
      <c r="A8" s="422" t="s">
        <v>45</v>
      </c>
      <c r="B8" s="423" t="s">
        <v>46</v>
      </c>
      <c r="C8" s="423" t="s">
        <v>47</v>
      </c>
      <c r="D8" s="423" t="s">
        <v>48</v>
      </c>
      <c r="E8" s="423" t="s">
        <v>49</v>
      </c>
      <c r="F8" s="423" t="s">
        <v>50</v>
      </c>
      <c r="G8" s="423" t="s">
        <v>51</v>
      </c>
      <c r="H8" s="423" t="s">
        <v>52</v>
      </c>
      <c r="I8" s="423" t="s">
        <v>53</v>
      </c>
      <c r="J8" s="423" t="s">
        <v>229</v>
      </c>
      <c r="K8" s="423" t="s">
        <v>230</v>
      </c>
      <c r="L8" s="423" t="s">
        <v>231</v>
      </c>
      <c r="M8" s="424" t="s">
        <v>232</v>
      </c>
      <c r="N8" s="424" t="s">
        <v>233</v>
      </c>
      <c r="O8" s="424" t="s">
        <v>234</v>
      </c>
      <c r="P8" s="424" t="s">
        <v>235</v>
      </c>
      <c r="Q8" s="425" t="s">
        <v>236</v>
      </c>
      <c r="R8" s="425" t="s">
        <v>237</v>
      </c>
    </row>
    <row r="9" spans="1:18">
      <c r="A9" s="426">
        <v>1</v>
      </c>
      <c r="B9" s="427" t="s">
        <v>159</v>
      </c>
      <c r="C9" s="428" t="s">
        <v>391</v>
      </c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9"/>
    </row>
    <row r="10" spans="1:18">
      <c r="A10" s="430">
        <v>2</v>
      </c>
      <c r="B10" s="346" t="s">
        <v>392</v>
      </c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7"/>
    </row>
    <row r="11" spans="1:18">
      <c r="A11" s="430">
        <v>3</v>
      </c>
      <c r="B11" s="346" t="s">
        <v>393</v>
      </c>
      <c r="C11" s="344">
        <v>50</v>
      </c>
      <c r="D11" s="353">
        <f>C11+D10</f>
        <v>50</v>
      </c>
      <c r="E11" s="345">
        <v>75.5</v>
      </c>
      <c r="F11" s="345">
        <v>74.099999999999994</v>
      </c>
      <c r="G11" s="345">
        <f>E11-F11</f>
        <v>1.4000000000000057</v>
      </c>
      <c r="H11" s="351">
        <v>4.7</v>
      </c>
      <c r="I11" s="344">
        <v>0.5</v>
      </c>
      <c r="J11" s="344">
        <v>0.7</v>
      </c>
      <c r="K11" s="344" t="s">
        <v>394</v>
      </c>
      <c r="L11" s="344">
        <v>3.64</v>
      </c>
      <c r="M11" s="344">
        <v>3.64</v>
      </c>
      <c r="N11" s="344">
        <f>C11*M11</f>
        <v>182</v>
      </c>
      <c r="O11" s="344"/>
      <c r="P11" s="344"/>
      <c r="Q11" s="344">
        <f>SUM(N11:P11)</f>
        <v>182</v>
      </c>
      <c r="R11" s="347"/>
    </row>
    <row r="12" spans="1:18">
      <c r="A12" s="430">
        <v>4</v>
      </c>
      <c r="B12" s="352" t="s">
        <v>395</v>
      </c>
      <c r="C12" s="353">
        <v>40</v>
      </c>
      <c r="D12" s="353">
        <f>C12+D11</f>
        <v>90</v>
      </c>
      <c r="E12" s="353">
        <v>75.55</v>
      </c>
      <c r="F12" s="353">
        <v>74.069999999999993</v>
      </c>
      <c r="G12" s="353">
        <f>E12-F12</f>
        <v>1.480000000000004</v>
      </c>
      <c r="H12" s="431">
        <v>4.9400000000000004</v>
      </c>
      <c r="I12" s="353">
        <v>0.5</v>
      </c>
      <c r="J12" s="353">
        <v>0.7</v>
      </c>
      <c r="K12" s="344" t="s">
        <v>394</v>
      </c>
      <c r="L12" s="353">
        <v>4.03</v>
      </c>
      <c r="M12" s="432">
        <f>AVERAGE(L11:L12)</f>
        <v>3.835</v>
      </c>
      <c r="N12" s="433">
        <f>(C12*M12)-P12</f>
        <v>153.4</v>
      </c>
      <c r="O12" s="353"/>
      <c r="P12" s="353"/>
      <c r="Q12" s="434">
        <f>SUM(N12:P12)</f>
        <v>153.4</v>
      </c>
      <c r="R12" s="354"/>
    </row>
    <row r="13" spans="1:18">
      <c r="A13" s="430">
        <v>7</v>
      </c>
      <c r="B13" s="346" t="s">
        <v>396</v>
      </c>
      <c r="C13" s="344">
        <v>60</v>
      </c>
      <c r="D13" s="353">
        <f>C13+D12</f>
        <v>150</v>
      </c>
      <c r="E13" s="344">
        <v>75.349999999999994</v>
      </c>
      <c r="F13" s="345">
        <v>74</v>
      </c>
      <c r="G13" s="353">
        <f>E13-F13</f>
        <v>1.3499999999999943</v>
      </c>
      <c r="H13" s="344">
        <v>4.5999999999999996</v>
      </c>
      <c r="I13" s="344">
        <v>0.5</v>
      </c>
      <c r="J13" s="344">
        <v>0.7</v>
      </c>
      <c r="K13" s="344" t="s">
        <v>394</v>
      </c>
      <c r="L13" s="344">
        <v>3.41</v>
      </c>
      <c r="M13" s="432">
        <f>AVERAGE(L12:L13)</f>
        <v>3.72</v>
      </c>
      <c r="N13" s="433">
        <f>(C13*M13)-P13</f>
        <v>213.20000000000002</v>
      </c>
      <c r="O13" s="344"/>
      <c r="P13" s="344">
        <f>10</f>
        <v>10</v>
      </c>
      <c r="Q13" s="434">
        <f>SUM(N13:P13)</f>
        <v>223.20000000000002</v>
      </c>
      <c r="R13" s="347"/>
    </row>
    <row r="14" spans="1:18">
      <c r="A14" s="430">
        <v>8</v>
      </c>
      <c r="B14" s="435" t="s">
        <v>137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7"/>
    </row>
    <row r="15" spans="1:18" ht="15.75" thickBot="1">
      <c r="A15" s="430">
        <v>9</v>
      </c>
      <c r="B15" s="436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8"/>
    </row>
    <row r="16" spans="1:18" ht="15.75" thickBot="1">
      <c r="A16" s="439">
        <v>10</v>
      </c>
      <c r="B16" s="1611" t="s">
        <v>2</v>
      </c>
      <c r="C16" s="1612"/>
      <c r="D16" s="1612"/>
      <c r="E16" s="1612"/>
      <c r="F16" s="1612"/>
      <c r="G16" s="1612"/>
      <c r="H16" s="1612"/>
      <c r="I16" s="1612"/>
      <c r="J16" s="1612"/>
      <c r="K16" s="1612"/>
      <c r="L16" s="1612"/>
      <c r="M16" s="1613"/>
      <c r="N16" s="440">
        <f>SUM(N11:N14)</f>
        <v>548.6</v>
      </c>
      <c r="O16" s="441"/>
      <c r="P16" s="441">
        <f>SUM(P11:P14)</f>
        <v>10</v>
      </c>
      <c r="Q16" s="441">
        <f>SUM(Q11:Q14)</f>
        <v>558.6</v>
      </c>
      <c r="R16" s="442"/>
    </row>
    <row r="17" spans="1:18" ht="15.75" thickBot="1">
      <c r="A17" s="443">
        <v>11</v>
      </c>
      <c r="B17" s="1614" t="s">
        <v>256</v>
      </c>
      <c r="C17" s="1615"/>
      <c r="D17" s="1615"/>
      <c r="E17" s="1615"/>
      <c r="F17" s="1615"/>
      <c r="G17" s="1615"/>
      <c r="H17" s="1615"/>
      <c r="I17" s="1615"/>
      <c r="J17" s="1615"/>
      <c r="K17" s="1615"/>
      <c r="L17" s="1615"/>
      <c r="M17" s="1616"/>
      <c r="N17" s="444">
        <f>SUM(N16)</f>
        <v>548.6</v>
      </c>
      <c r="O17" s="445"/>
      <c r="P17" s="446">
        <f>SUM(P16)</f>
        <v>10</v>
      </c>
      <c r="Q17" s="446">
        <f>SUM(Q16)</f>
        <v>558.6</v>
      </c>
      <c r="R17" s="447"/>
    </row>
    <row r="18" spans="1:18">
      <c r="A18" s="448" t="s">
        <v>147</v>
      </c>
      <c r="B18" s="449"/>
      <c r="C18" s="449"/>
      <c r="D18" s="449"/>
      <c r="E18" s="449"/>
      <c r="F18" s="449"/>
      <c r="G18" s="449"/>
      <c r="H18" s="449"/>
      <c r="I18" s="449"/>
      <c r="J18" s="450"/>
      <c r="K18" s="450"/>
      <c r="L18" s="450"/>
      <c r="M18" s="450"/>
      <c r="N18" s="450"/>
      <c r="O18" s="450"/>
      <c r="P18" s="450"/>
      <c r="Q18" s="450"/>
      <c r="R18" s="450"/>
    </row>
    <row r="19" spans="1:18">
      <c r="A19" s="449">
        <v>1</v>
      </c>
      <c r="B19" s="451" t="s">
        <v>397</v>
      </c>
      <c r="C19" s="449"/>
      <c r="D19" s="449"/>
      <c r="E19" s="449"/>
      <c r="F19" s="449"/>
      <c r="G19" s="449"/>
      <c r="H19" s="449"/>
      <c r="I19" s="449"/>
      <c r="J19" s="450"/>
      <c r="K19" s="450"/>
      <c r="L19" s="450"/>
      <c r="M19" s="450"/>
      <c r="N19" s="450"/>
      <c r="O19" s="450"/>
      <c r="P19" s="450"/>
      <c r="Q19" s="450"/>
      <c r="R19" s="450"/>
    </row>
    <row r="20" spans="1:18">
      <c r="A20" s="449">
        <v>2</v>
      </c>
      <c r="B20" s="451" t="s">
        <v>101</v>
      </c>
      <c r="C20" s="449"/>
      <c r="D20" s="449"/>
      <c r="E20" s="449"/>
      <c r="F20" s="449"/>
      <c r="G20" s="449"/>
      <c r="H20" s="449"/>
      <c r="I20" s="449"/>
      <c r="J20" s="450"/>
      <c r="K20" s="450"/>
      <c r="L20" s="450"/>
      <c r="M20" s="450"/>
      <c r="N20" s="450"/>
      <c r="O20" s="450"/>
      <c r="P20" s="450"/>
      <c r="Q20" s="450"/>
      <c r="R20" s="450"/>
    </row>
  </sheetData>
  <mergeCells count="22">
    <mergeCell ref="R3:R7"/>
    <mergeCell ref="F4:F6"/>
    <mergeCell ref="G4:G6"/>
    <mergeCell ref="H4:H6"/>
    <mergeCell ref="I4:I6"/>
    <mergeCell ref="F3:K3"/>
    <mergeCell ref="M4:M6"/>
    <mergeCell ref="N3:Q3"/>
    <mergeCell ref="N4:P4"/>
    <mergeCell ref="A3:A7"/>
    <mergeCell ref="B3:B7"/>
    <mergeCell ref="C3:C6"/>
    <mergeCell ref="D3:D6"/>
    <mergeCell ref="Q4:Q6"/>
    <mergeCell ref="N5:O5"/>
    <mergeCell ref="E3:E6"/>
    <mergeCell ref="B16:M16"/>
    <mergeCell ref="B17:M17"/>
    <mergeCell ref="L3:M3"/>
    <mergeCell ref="J4:J6"/>
    <mergeCell ref="K4:K7"/>
    <mergeCell ref="L4:L6"/>
  </mergeCells>
  <phoneticPr fontId="59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22" sqref="B22"/>
    </sheetView>
    <sheetView workbookViewId="1">
      <selection activeCell="H21" sqref="H21"/>
    </sheetView>
  </sheetViews>
  <sheetFormatPr defaultRowHeight="15"/>
  <cols>
    <col min="2" max="2" width="45.140625" customWidth="1"/>
  </cols>
  <sheetData>
    <row r="1" spans="1:10" ht="15.75">
      <c r="A1" s="145" t="s">
        <v>774</v>
      </c>
    </row>
    <row r="2" spans="1:10" ht="16.5" thickBot="1">
      <c r="A2" s="145"/>
    </row>
    <row r="3" spans="1:10" ht="15.75" thickBot="1">
      <c r="A3" s="1242" t="s">
        <v>41</v>
      </c>
      <c r="B3" s="1245" t="s">
        <v>42</v>
      </c>
      <c r="C3" s="1435" t="s">
        <v>11</v>
      </c>
      <c r="D3" s="1314" t="s">
        <v>43</v>
      </c>
      <c r="E3" s="1552"/>
      <c r="F3" s="1552"/>
      <c r="G3" s="1552"/>
      <c r="H3" s="1552"/>
      <c r="I3" s="1315"/>
      <c r="J3" s="1265" t="s">
        <v>2</v>
      </c>
    </row>
    <row r="4" spans="1:10" ht="15.75" thickBot="1">
      <c r="A4" s="1243"/>
      <c r="B4" s="1145"/>
      <c r="C4" s="1436"/>
      <c r="D4" s="1314" t="s">
        <v>44</v>
      </c>
      <c r="E4" s="1552"/>
      <c r="F4" s="1552"/>
      <c r="G4" s="1552"/>
      <c r="H4" s="1552"/>
      <c r="I4" s="1315"/>
      <c r="J4" s="1266"/>
    </row>
    <row r="5" spans="1:10" ht="15.75" thickBot="1">
      <c r="A5" s="1244"/>
      <c r="B5" s="1164"/>
      <c r="C5" s="1437"/>
      <c r="D5" s="375" t="s">
        <v>8</v>
      </c>
      <c r="E5" s="375" t="s">
        <v>9</v>
      </c>
      <c r="F5" s="1076" t="s">
        <v>445</v>
      </c>
      <c r="G5" s="375" t="s">
        <v>676</v>
      </c>
      <c r="H5" s="375" t="s">
        <v>677</v>
      </c>
      <c r="I5" s="375" t="s">
        <v>678</v>
      </c>
      <c r="J5" s="1267"/>
    </row>
    <row r="6" spans="1:10" ht="15.75" thickBot="1">
      <c r="A6" s="57" t="s">
        <v>45</v>
      </c>
      <c r="B6" s="82" t="s">
        <v>46</v>
      </c>
      <c r="C6" s="58" t="s">
        <v>47</v>
      </c>
      <c r="D6" s="58" t="s">
        <v>48</v>
      </c>
      <c r="E6" s="58" t="s">
        <v>49</v>
      </c>
      <c r="F6" s="58" t="s">
        <v>50</v>
      </c>
      <c r="G6" s="58" t="s">
        <v>51</v>
      </c>
      <c r="H6" s="58" t="s">
        <v>52</v>
      </c>
      <c r="I6" s="58" t="s">
        <v>53</v>
      </c>
      <c r="J6" s="58" t="s">
        <v>229</v>
      </c>
    </row>
    <row r="7" spans="1:10" ht="25.5">
      <c r="A7" s="147">
        <v>1</v>
      </c>
      <c r="B7" s="98" t="s">
        <v>702</v>
      </c>
      <c r="C7" s="147" t="s">
        <v>701</v>
      </c>
      <c r="D7" s="148">
        <v>454.6</v>
      </c>
      <c r="E7" s="148">
        <v>44</v>
      </c>
      <c r="F7" s="618">
        <v>1148.5</v>
      </c>
      <c r="G7" s="148">
        <v>997.2</v>
      </c>
      <c r="H7" s="148">
        <v>94.2</v>
      </c>
      <c r="I7" s="148">
        <v>60.4</v>
      </c>
      <c r="J7" s="191">
        <f>SUM(D7:I7)</f>
        <v>2798.9</v>
      </c>
    </row>
    <row r="8" spans="1:10" ht="45" customHeight="1">
      <c r="A8" s="62">
        <v>2</v>
      </c>
      <c r="B8" s="720" t="s">
        <v>780</v>
      </c>
      <c r="C8" s="738" t="s">
        <v>99</v>
      </c>
      <c r="D8" s="1643">
        <v>1</v>
      </c>
      <c r="E8" s="1644"/>
      <c r="F8" s="1644"/>
      <c r="G8" s="1644"/>
      <c r="H8" s="1644"/>
      <c r="I8" s="1645"/>
      <c r="J8" s="512">
        <f>I8+H8+D8</f>
        <v>1</v>
      </c>
    </row>
    <row r="9" spans="1:10" ht="30" customHeight="1">
      <c r="A9" s="62">
        <v>3</v>
      </c>
      <c r="B9" s="734" t="s">
        <v>798</v>
      </c>
      <c r="C9" s="732" t="s">
        <v>24</v>
      </c>
      <c r="D9" s="1643">
        <v>2</v>
      </c>
      <c r="E9" s="1644"/>
      <c r="F9" s="1644"/>
      <c r="G9" s="1644"/>
      <c r="H9" s="1644"/>
      <c r="I9" s="1645"/>
      <c r="J9" s="512">
        <f>D9+H9+I9</f>
        <v>2</v>
      </c>
    </row>
    <row r="10" spans="1:10">
      <c r="A10" s="62">
        <v>4</v>
      </c>
      <c r="B10" s="736" t="s">
        <v>98</v>
      </c>
      <c r="C10" s="735" t="s">
        <v>99</v>
      </c>
      <c r="D10" s="1640">
        <v>1</v>
      </c>
      <c r="E10" s="1641"/>
      <c r="F10" s="1641"/>
      <c r="G10" s="1641"/>
      <c r="H10" s="1641"/>
      <c r="I10" s="1642"/>
      <c r="J10" s="512">
        <f>D10</f>
        <v>1</v>
      </c>
    </row>
    <row r="11" spans="1:10">
      <c r="A11" s="149">
        <v>5</v>
      </c>
      <c r="B11" s="731" t="s">
        <v>98</v>
      </c>
      <c r="C11" s="737" t="s">
        <v>99</v>
      </c>
      <c r="D11" s="731"/>
      <c r="E11" s="731"/>
      <c r="F11" s="1058"/>
      <c r="G11" s="62">
        <v>2</v>
      </c>
      <c r="H11" s="62">
        <v>1</v>
      </c>
      <c r="I11" s="62">
        <v>1</v>
      </c>
      <c r="J11" s="512">
        <f>G11+H11+I11</f>
        <v>4</v>
      </c>
    </row>
    <row r="13" spans="1:10">
      <c r="A13" s="3"/>
      <c r="B13" s="45"/>
    </row>
    <row r="14" spans="1:10">
      <c r="A14" s="45"/>
      <c r="B14" s="52"/>
    </row>
    <row r="15" spans="1:10">
      <c r="A15" s="45"/>
      <c r="B15" s="52"/>
    </row>
  </sheetData>
  <mergeCells count="9">
    <mergeCell ref="D10:I10"/>
    <mergeCell ref="J3:J5"/>
    <mergeCell ref="A3:A5"/>
    <mergeCell ref="B3:B5"/>
    <mergeCell ref="C3:C5"/>
    <mergeCell ref="D3:I3"/>
    <mergeCell ref="D4:I4"/>
    <mergeCell ref="D8:I8"/>
    <mergeCell ref="D9:I9"/>
  </mergeCells>
  <phoneticPr fontId="59" type="noConversion"/>
  <pageMargins left="0.51181102362204722" right="0" top="0.74803149606299213" bottom="0.74803149606299213" header="0.31496062992125984" footer="0.31496062992125984"/>
  <pageSetup paperSize="9" scale="95" orientation="landscape" r:id="rId1"/>
  <ignoredErrors>
    <ignoredError sqref="J1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zoomScaleNormal="100" workbookViewId="0">
      <pane ySplit="2160" topLeftCell="A64" activePane="bottomLeft"/>
      <selection activeCell="J6" sqref="J6:N6"/>
      <selection pane="bottomLeft" activeCell="W77" sqref="W77"/>
    </sheetView>
    <sheetView topLeftCell="A4" workbookViewId="1">
      <pane ySplit="1635" topLeftCell="A59" activePane="bottomLeft"/>
      <selection activeCell="W6" sqref="W6"/>
      <selection pane="bottomLeft" activeCell="W61" sqref="W61"/>
    </sheetView>
  </sheetViews>
  <sheetFormatPr defaultRowHeight="15"/>
  <cols>
    <col min="14" max="14" width="9.5703125" bestFit="1" customWidth="1"/>
    <col min="23" max="23" width="15" customWidth="1"/>
  </cols>
  <sheetData>
    <row r="1" spans="1:23" ht="15.75">
      <c r="A1" s="1" t="s">
        <v>775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23" ht="15.75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23" ht="15.75" thickBot="1">
      <c r="A3" s="1242" t="s">
        <v>41</v>
      </c>
      <c r="B3" s="1245" t="s">
        <v>42</v>
      </c>
      <c r="C3" s="1246"/>
      <c r="D3" s="1246"/>
      <c r="E3" s="1246"/>
      <c r="F3" s="1247"/>
      <c r="G3" s="1250" t="s">
        <v>11</v>
      </c>
      <c r="H3" s="1221" t="s">
        <v>43</v>
      </c>
      <c r="I3" s="1222"/>
      <c r="J3" s="1222"/>
      <c r="K3" s="1222"/>
      <c r="L3" s="1222"/>
      <c r="M3" s="1223"/>
      <c r="N3" s="1265" t="s">
        <v>2</v>
      </c>
      <c r="O3" s="1435" t="s">
        <v>398</v>
      </c>
      <c r="P3" s="1443" t="s">
        <v>399</v>
      </c>
      <c r="Q3" s="1681" t="s">
        <v>400</v>
      </c>
      <c r="R3" s="1682"/>
      <c r="S3" s="1682"/>
      <c r="T3" s="1682"/>
      <c r="U3" s="1682"/>
      <c r="V3" s="1682"/>
      <c r="W3" s="1683"/>
    </row>
    <row r="4" spans="1:23" ht="15.75" thickBot="1">
      <c r="A4" s="1243"/>
      <c r="B4" s="1145"/>
      <c r="C4" s="1146"/>
      <c r="D4" s="1146"/>
      <c r="E4" s="1146"/>
      <c r="F4" s="1147"/>
      <c r="G4" s="1251"/>
      <c r="H4" s="1314" t="s">
        <v>44</v>
      </c>
      <c r="I4" s="1552"/>
      <c r="J4" s="1552"/>
      <c r="K4" s="1552"/>
      <c r="L4" s="1552"/>
      <c r="M4" s="1315"/>
      <c r="N4" s="1266"/>
      <c r="O4" s="1436"/>
      <c r="P4" s="1530"/>
      <c r="Q4" s="1681" t="s">
        <v>44</v>
      </c>
      <c r="R4" s="1682"/>
      <c r="S4" s="1682"/>
      <c r="T4" s="1682"/>
      <c r="U4" s="1682"/>
      <c r="V4" s="1683"/>
      <c r="W4" s="1674" t="s">
        <v>256</v>
      </c>
    </row>
    <row r="5" spans="1:23" ht="15.75" thickBot="1">
      <c r="A5" s="1244"/>
      <c r="B5" s="1164"/>
      <c r="C5" s="1248"/>
      <c r="D5" s="1248"/>
      <c r="E5" s="1248"/>
      <c r="F5" s="1249"/>
      <c r="G5" s="1252"/>
      <c r="H5" s="399" t="s">
        <v>8</v>
      </c>
      <c r="I5" s="399" t="s">
        <v>799</v>
      </c>
      <c r="J5" s="399" t="s">
        <v>445</v>
      </c>
      <c r="K5" s="399" t="s">
        <v>444</v>
      </c>
      <c r="L5" s="399" t="s">
        <v>448</v>
      </c>
      <c r="M5" s="399" t="s">
        <v>449</v>
      </c>
      <c r="N5" s="1267"/>
      <c r="O5" s="1437"/>
      <c r="P5" s="1444"/>
      <c r="Q5" s="414" t="s">
        <v>8</v>
      </c>
      <c r="R5" s="414" t="s">
        <v>799</v>
      </c>
      <c r="S5" s="414" t="s">
        <v>445</v>
      </c>
      <c r="T5" s="414" t="s">
        <v>444</v>
      </c>
      <c r="U5" s="414" t="s">
        <v>448</v>
      </c>
      <c r="V5" s="414" t="s">
        <v>449</v>
      </c>
      <c r="W5" s="1675"/>
    </row>
    <row r="6" spans="1:23" ht="15.75" thickBot="1">
      <c r="A6" s="511" t="s">
        <v>45</v>
      </c>
      <c r="B6" s="1279" t="s">
        <v>46</v>
      </c>
      <c r="C6" s="1280"/>
      <c r="D6" s="1280"/>
      <c r="E6" s="1280"/>
      <c r="F6" s="1281"/>
      <c r="G6" s="58" t="s">
        <v>47</v>
      </c>
      <c r="H6" s="58" t="s">
        <v>48</v>
      </c>
      <c r="I6" s="58" t="s">
        <v>693</v>
      </c>
      <c r="J6" s="58" t="s">
        <v>50</v>
      </c>
      <c r="K6" s="82" t="s">
        <v>51</v>
      </c>
      <c r="L6" s="82" t="s">
        <v>52</v>
      </c>
      <c r="M6" s="82" t="s">
        <v>53</v>
      </c>
      <c r="N6" s="59" t="s">
        <v>229</v>
      </c>
      <c r="O6" s="85" t="s">
        <v>230</v>
      </c>
      <c r="P6" s="85" t="s">
        <v>231</v>
      </c>
      <c r="Q6" s="85" t="s">
        <v>232</v>
      </c>
      <c r="R6" s="85" t="s">
        <v>233</v>
      </c>
      <c r="S6" s="85" t="s">
        <v>903</v>
      </c>
      <c r="T6" s="85" t="s">
        <v>235</v>
      </c>
      <c r="U6" s="85" t="s">
        <v>236</v>
      </c>
      <c r="V6" s="85" t="s">
        <v>237</v>
      </c>
      <c r="W6" s="85" t="s">
        <v>238</v>
      </c>
    </row>
    <row r="7" spans="1:23" ht="15.75" thickBot="1">
      <c r="A7" s="53">
        <f>Tab2a!A7</f>
        <v>1</v>
      </c>
      <c r="B7" s="1679" t="s">
        <v>54</v>
      </c>
      <c r="C7" s="1679"/>
      <c r="D7" s="1679"/>
      <c r="E7" s="1679"/>
      <c r="F7" s="1679"/>
      <c r="G7" s="1679"/>
      <c r="H7" s="1679"/>
      <c r="I7" s="1679"/>
      <c r="J7" s="1679"/>
      <c r="K7" s="1679"/>
      <c r="L7" s="1679"/>
      <c r="M7" s="1679"/>
      <c r="N7" s="1679"/>
      <c r="O7" s="1679"/>
      <c r="P7" s="1679"/>
      <c r="Q7" s="1679"/>
      <c r="R7" s="1679"/>
      <c r="S7" s="1679"/>
      <c r="T7" s="1679"/>
      <c r="U7" s="1679"/>
      <c r="V7" s="1679"/>
      <c r="W7" s="1680"/>
    </row>
    <row r="8" spans="1:23">
      <c r="A8" s="463">
        <v>2</v>
      </c>
      <c r="B8" s="1229" t="s">
        <v>778</v>
      </c>
      <c r="C8" s="1230"/>
      <c r="D8" s="1230"/>
      <c r="E8" s="1230"/>
      <c r="F8" s="1230"/>
      <c r="G8" s="717" t="s">
        <v>17</v>
      </c>
      <c r="H8" s="717"/>
      <c r="I8" s="717"/>
      <c r="J8" s="717"/>
      <c r="K8" s="719">
        <f>Tab2a!K8</f>
        <v>4.41E-2</v>
      </c>
      <c r="L8" s="717"/>
      <c r="M8" s="717"/>
      <c r="N8" s="719">
        <f>K8</f>
        <v>4.41E-2</v>
      </c>
      <c r="O8" s="148">
        <v>343.6</v>
      </c>
      <c r="P8" s="147" t="s">
        <v>822</v>
      </c>
      <c r="Q8" s="718"/>
      <c r="R8" s="718"/>
      <c r="S8" s="718"/>
      <c r="T8" s="148">
        <f>K8*O8</f>
        <v>15.152760000000001</v>
      </c>
      <c r="U8" s="718"/>
      <c r="V8" s="718"/>
      <c r="W8" s="518">
        <f>SUM(Q8:V8)</f>
        <v>15.152760000000001</v>
      </c>
    </row>
    <row r="9" spans="1:23">
      <c r="A9" s="463">
        <v>3</v>
      </c>
      <c r="B9" s="1231" t="s">
        <v>779</v>
      </c>
      <c r="C9" s="1232"/>
      <c r="D9" s="1232"/>
      <c r="E9" s="1232"/>
      <c r="F9" s="1232"/>
      <c r="G9" s="717" t="s">
        <v>17</v>
      </c>
      <c r="H9" s="717"/>
      <c r="I9" s="717"/>
      <c r="J9" s="717"/>
      <c r="K9" s="719">
        <f>Tab2a!K9</f>
        <v>4.41E-2</v>
      </c>
      <c r="L9" s="717"/>
      <c r="M9" s="717"/>
      <c r="N9" s="719">
        <f>K9</f>
        <v>4.41E-2</v>
      </c>
      <c r="O9" s="20">
        <v>460.2</v>
      </c>
      <c r="P9" s="62" t="s">
        <v>401</v>
      </c>
      <c r="Q9" s="718"/>
      <c r="R9" s="718"/>
      <c r="S9" s="718"/>
      <c r="T9" s="148">
        <f>K9*O9</f>
        <v>20.294820000000001</v>
      </c>
      <c r="U9" s="718"/>
      <c r="V9" s="718"/>
      <c r="W9" s="518">
        <f>SUM(Q9:V9)</f>
        <v>20.294820000000001</v>
      </c>
    </row>
    <row r="10" spans="1:23" ht="15" customHeight="1">
      <c r="A10" s="463">
        <f>Tab2a!A10</f>
        <v>4</v>
      </c>
      <c r="B10" s="1273" t="str">
        <f>Tab2a!B10</f>
        <v>Kõrge võsa raie (KV)</v>
      </c>
      <c r="C10" s="1274"/>
      <c r="D10" s="1274"/>
      <c r="E10" s="1274"/>
      <c r="F10" s="1274"/>
      <c r="G10" s="147" t="s">
        <v>17</v>
      </c>
      <c r="H10" s="10">
        <f>Tab2a!H10</f>
        <v>1.2888999999999999</v>
      </c>
      <c r="I10" s="10">
        <f>Tab2a!I10</f>
        <v>0.39600000000000002</v>
      </c>
      <c r="J10" s="10">
        <f>Tab2a!J10</f>
        <v>3.6920999999999995</v>
      </c>
      <c r="K10" s="10">
        <f>Tab2a!K10</f>
        <v>1.5859000000000001</v>
      </c>
      <c r="L10" s="10">
        <f>Tab2a!L10</f>
        <v>0.15279999999999999</v>
      </c>
      <c r="M10" s="10">
        <f>Tab2a!M10</f>
        <v>0.2656</v>
      </c>
      <c r="N10" s="190">
        <f>SUM(H10:M10)</f>
        <v>7.3812999999999995</v>
      </c>
      <c r="O10" s="148">
        <v>343.6</v>
      </c>
      <c r="P10" s="147" t="s">
        <v>822</v>
      </c>
      <c r="Q10" s="148">
        <f>H10*O10</f>
        <v>442.86604</v>
      </c>
      <c r="R10" s="148">
        <f>O10*I10</f>
        <v>136.06560000000002</v>
      </c>
      <c r="S10" s="148">
        <f>J10*O10</f>
        <v>1268.60556</v>
      </c>
      <c r="T10" s="148">
        <f>K10*O10</f>
        <v>544.91524000000004</v>
      </c>
      <c r="U10" s="148">
        <f>L10*O10</f>
        <v>52.502079999999999</v>
      </c>
      <c r="V10" s="148">
        <f>M10*O10</f>
        <v>91.260160000000013</v>
      </c>
      <c r="W10" s="518">
        <f>SUM(Q10:V10)</f>
        <v>2536.21468</v>
      </c>
    </row>
    <row r="11" spans="1:23" ht="15" customHeight="1">
      <c r="A11" s="463">
        <f>Tab2a!A11</f>
        <v>5</v>
      </c>
      <c r="B11" s="1231" t="str">
        <f>Tab2a!B11</f>
        <v>Kõrge võsa vedu 600 m (KV)</v>
      </c>
      <c r="C11" s="1232"/>
      <c r="D11" s="1232"/>
      <c r="E11" s="1232"/>
      <c r="F11" s="1232"/>
      <c r="G11" s="62" t="s">
        <v>17</v>
      </c>
      <c r="H11" s="10">
        <f>Tab2a!H11</f>
        <v>1.2888999999999999</v>
      </c>
      <c r="I11" s="10">
        <f>I10</f>
        <v>0.39600000000000002</v>
      </c>
      <c r="J11" s="10">
        <f>Tab2a!J11</f>
        <v>3.6920999999999995</v>
      </c>
      <c r="K11" s="10">
        <f>Tab2a!K11</f>
        <v>1.5859000000000001</v>
      </c>
      <c r="L11" s="10">
        <f>Tab2a!L11</f>
        <v>0.15279999999999999</v>
      </c>
      <c r="M11" s="10">
        <f>Tab2a!M11</f>
        <v>0.2656</v>
      </c>
      <c r="N11" s="190">
        <f>SUM(H11:M11)</f>
        <v>7.3812999999999995</v>
      </c>
      <c r="O11" s="20">
        <v>460.2</v>
      </c>
      <c r="P11" s="62" t="s">
        <v>401</v>
      </c>
      <c r="Q11" s="148">
        <f>H11*O11</f>
        <v>593.15177999999992</v>
      </c>
      <c r="R11" s="148">
        <f>O11*I11</f>
        <v>182.23920000000001</v>
      </c>
      <c r="S11" s="148">
        <f>J11*O11</f>
        <v>1699.1044199999997</v>
      </c>
      <c r="T11" s="148">
        <f>K11*O11</f>
        <v>729.83118000000002</v>
      </c>
      <c r="U11" s="148">
        <f>L11*O11</f>
        <v>70.318559999999991</v>
      </c>
      <c r="V11" s="148">
        <f>M11*O11</f>
        <v>122.22911999999999</v>
      </c>
      <c r="W11" s="518">
        <f>SUM(Q11:V11)</f>
        <v>3396.87426</v>
      </c>
    </row>
    <row r="12" spans="1:23">
      <c r="A12" s="463">
        <f>Tab2a!A12</f>
        <v>6</v>
      </c>
      <c r="B12" s="1231" t="str">
        <f>Tab2a!B12</f>
        <v>Puittaimestiku raie, peenpuistu  (PP)</v>
      </c>
      <c r="C12" s="1232"/>
      <c r="D12" s="1232"/>
      <c r="E12" s="1232"/>
      <c r="F12" s="1232"/>
      <c r="G12" s="62" t="s">
        <v>17</v>
      </c>
      <c r="H12" s="10">
        <f>Tab2a!H12</f>
        <v>1.6764000000000001</v>
      </c>
      <c r="I12" s="10"/>
      <c r="J12" s="10">
        <f>Tab2a!J12</f>
        <v>1.1240999999999999</v>
      </c>
      <c r="K12" s="10">
        <f>Tab2a!K12</f>
        <v>3.8390999999999997</v>
      </c>
      <c r="L12" s="10">
        <f>Tab2a!L12</f>
        <v>0.4284</v>
      </c>
      <c r="M12" s="10">
        <f>Tab2a!M12</f>
        <v>0.45689999999999997</v>
      </c>
      <c r="N12" s="190">
        <f>SUM(H12:M12)</f>
        <v>7.5248999999999997</v>
      </c>
      <c r="O12" s="20">
        <v>1109</v>
      </c>
      <c r="P12" s="62" t="s">
        <v>511</v>
      </c>
      <c r="Q12" s="148">
        <f>H12*O12</f>
        <v>1859.1276</v>
      </c>
      <c r="R12" s="148"/>
      <c r="S12" s="148">
        <f>J12*O12</f>
        <v>1246.6268999999998</v>
      </c>
      <c r="T12" s="148">
        <f>K12*O12</f>
        <v>4257.5618999999997</v>
      </c>
      <c r="U12" s="148">
        <f>L12*O12</f>
        <v>475.09559999999999</v>
      </c>
      <c r="V12" s="148">
        <f>M12*O12</f>
        <v>506.70209999999997</v>
      </c>
      <c r="W12" s="518">
        <f>SUM(Q12:V12)</f>
        <v>8345.1140999999989</v>
      </c>
    </row>
    <row r="13" spans="1:23">
      <c r="A13" s="463">
        <f>Tab2a!A13</f>
        <v>7</v>
      </c>
      <c r="B13" s="1231" t="str">
        <f>Tab2a!B13</f>
        <v>Tüveste vedu 600 m, peenpuistu (PP)</v>
      </c>
      <c r="C13" s="1232"/>
      <c r="D13" s="1232"/>
      <c r="E13" s="1232"/>
      <c r="F13" s="1232"/>
      <c r="G13" s="62" t="s">
        <v>17</v>
      </c>
      <c r="H13" s="10">
        <f>Tab2a!H13</f>
        <v>1.6764000000000001</v>
      </c>
      <c r="I13" s="10"/>
      <c r="J13" s="10">
        <f>Tab2a!J13</f>
        <v>1.1240999999999999</v>
      </c>
      <c r="K13" s="10">
        <f>Tab2a!K13</f>
        <v>3.8390999999999997</v>
      </c>
      <c r="L13" s="10">
        <f>Tab2a!L13</f>
        <v>0.4284</v>
      </c>
      <c r="M13" s="10">
        <f>Tab2a!M13</f>
        <v>0.45689999999999997</v>
      </c>
      <c r="N13" s="190">
        <f>SUM(H13:M13)</f>
        <v>7.5248999999999997</v>
      </c>
      <c r="O13" s="618">
        <v>460.2</v>
      </c>
      <c r="P13" s="607" t="s">
        <v>401</v>
      </c>
      <c r="Q13" s="148">
        <f>H13*O13</f>
        <v>771.47928000000002</v>
      </c>
      <c r="R13" s="148"/>
      <c r="S13" s="148">
        <f>J13*O13</f>
        <v>517.31081999999992</v>
      </c>
      <c r="T13" s="148">
        <f>K13*O13</f>
        <v>1766.7538199999999</v>
      </c>
      <c r="U13" s="148">
        <f>L13*O13</f>
        <v>197.14967999999999</v>
      </c>
      <c r="V13" s="148">
        <f>M13*O13</f>
        <v>210.26537999999999</v>
      </c>
      <c r="W13" s="518">
        <f>SUM(Q13:V13)</f>
        <v>3462.9589799999999</v>
      </c>
    </row>
    <row r="14" spans="1:23">
      <c r="A14" s="463">
        <f>Tab2a!A14</f>
        <v>8</v>
      </c>
      <c r="B14" s="1270" t="str">
        <f>Tab2a!B14</f>
        <v>Puittaimestiku raie, jämepuistu (JP)</v>
      </c>
      <c r="C14" s="1271"/>
      <c r="D14" s="1271"/>
      <c r="E14" s="1271"/>
      <c r="F14" s="1272"/>
      <c r="G14" s="62" t="s">
        <v>17</v>
      </c>
      <c r="H14" s="10">
        <f>Tab2a!H14</f>
        <v>2.7800000000000002</v>
      </c>
      <c r="I14" s="10">
        <f>Tab2a!I14</f>
        <v>0.13200000000000001</v>
      </c>
      <c r="J14" s="10">
        <f>Tab2a!J14</f>
        <v>9.7312999999999974</v>
      </c>
      <c r="K14" s="10">
        <f>Tab2a!K14</f>
        <v>1.1560000000000001</v>
      </c>
      <c r="L14" s="10"/>
      <c r="M14" s="10"/>
      <c r="N14" s="190">
        <f>SUM(H14:M14)</f>
        <v>13.799299999999999</v>
      </c>
      <c r="O14" s="618">
        <v>2335</v>
      </c>
      <c r="P14" s="694" t="s">
        <v>512</v>
      </c>
      <c r="Q14" s="148">
        <f>H14*O14</f>
        <v>6491.3</v>
      </c>
      <c r="R14" s="148">
        <f>O14*I14</f>
        <v>308.22000000000003</v>
      </c>
      <c r="S14" s="148">
        <f>J14*O14</f>
        <v>22722.585499999994</v>
      </c>
      <c r="T14" s="148">
        <f>K14*O14</f>
        <v>2699.26</v>
      </c>
      <c r="U14" s="148"/>
      <c r="V14" s="148"/>
      <c r="W14" s="518">
        <f>SUM(Q14:V14)</f>
        <v>32221.365499999993</v>
      </c>
    </row>
    <row r="15" spans="1:23">
      <c r="A15" s="463">
        <f>Tab2a!A15</f>
        <v>9</v>
      </c>
      <c r="B15" s="1270" t="str">
        <f>Tab2a!B15</f>
        <v>Tüveste vedu, jämepuistu (JP)</v>
      </c>
      <c r="C15" s="1271"/>
      <c r="D15" s="1271"/>
      <c r="E15" s="1271"/>
      <c r="F15" s="1272"/>
      <c r="G15" s="62" t="s">
        <v>17</v>
      </c>
      <c r="H15" s="10">
        <f>Tab2a!H15</f>
        <v>2.7800000000000002</v>
      </c>
      <c r="I15" s="10">
        <f>I14</f>
        <v>0.13200000000000001</v>
      </c>
      <c r="J15" s="10">
        <f>Tab2a!J15</f>
        <v>9.7312999999999974</v>
      </c>
      <c r="K15" s="10">
        <f>Tab2a!K15</f>
        <v>1.1560000000000001</v>
      </c>
      <c r="L15" s="10"/>
      <c r="M15" s="10"/>
      <c r="N15" s="190">
        <f>SUM(H15:M15)</f>
        <v>13.799299999999999</v>
      </c>
      <c r="O15" s="618">
        <v>2982</v>
      </c>
      <c r="P15" s="694" t="s">
        <v>513</v>
      </c>
      <c r="Q15" s="148">
        <f>H15*O15</f>
        <v>8289.9600000000009</v>
      </c>
      <c r="R15" s="148">
        <f>O15*I15</f>
        <v>393.62400000000002</v>
      </c>
      <c r="S15" s="148">
        <f>J15*O15</f>
        <v>29018.736599999993</v>
      </c>
      <c r="T15" s="148">
        <f>K15*O15</f>
        <v>3447.1920000000005</v>
      </c>
      <c r="U15" s="148"/>
      <c r="V15" s="148"/>
      <c r="W15" s="518">
        <f>SUM(Q15:V15)</f>
        <v>41149.512599999995</v>
      </c>
    </row>
    <row r="16" spans="1:23" ht="30" customHeight="1">
      <c r="A16" s="463">
        <f>Tab2a!A16</f>
        <v>10</v>
      </c>
      <c r="B16" s="1270" t="str">
        <f>Tab2a!B16</f>
        <v>Tee- ja kraavitrassi ning teerajatiste alune kändude juurimine ekskavaatoriga</v>
      </c>
      <c r="C16" s="1271"/>
      <c r="D16" s="1271"/>
      <c r="E16" s="1271"/>
      <c r="F16" s="1272"/>
      <c r="G16" s="62" t="s">
        <v>17</v>
      </c>
      <c r="H16" s="10">
        <f>Tab2a!H16</f>
        <v>5.7453000000000003</v>
      </c>
      <c r="I16" s="10">
        <f>Tab2a!I16</f>
        <v>0.52800000000000002</v>
      </c>
      <c r="J16" s="10">
        <f>Tab2a!J16</f>
        <v>14.547500000000001</v>
      </c>
      <c r="K16" s="10">
        <f>Tab2a!K16</f>
        <v>6.6251000000000007</v>
      </c>
      <c r="L16" s="10">
        <f>Tab2a!L16</f>
        <v>0.58120000000000005</v>
      </c>
      <c r="M16" s="10">
        <f>Tab2a!M16</f>
        <v>0.72250000000000003</v>
      </c>
      <c r="N16" s="190">
        <f>SUM(H16:M16)</f>
        <v>28.749600000000001</v>
      </c>
      <c r="O16" s="618">
        <v>512</v>
      </c>
      <c r="P16" s="607" t="s">
        <v>823</v>
      </c>
      <c r="Q16" s="148">
        <f>H16*O16</f>
        <v>2941.5936000000002</v>
      </c>
      <c r="R16" s="148">
        <f>O16*I16</f>
        <v>270.33600000000001</v>
      </c>
      <c r="S16" s="148">
        <f>J16*O16</f>
        <v>7448.3200000000006</v>
      </c>
      <c r="T16" s="148">
        <f>K16*O16</f>
        <v>3392.0512000000003</v>
      </c>
      <c r="U16" s="148">
        <f>L16*O16</f>
        <v>297.57440000000003</v>
      </c>
      <c r="V16" s="148">
        <f>M16*O16</f>
        <v>369.92</v>
      </c>
      <c r="W16" s="518">
        <f>SUM(Q16:V16)</f>
        <v>14719.7952</v>
      </c>
    </row>
    <row r="17" spans="1:23">
      <c r="A17" s="463">
        <f>Tab2a!A17</f>
        <v>11</v>
      </c>
      <c r="B17" s="1270" t="str">
        <f>Tab2a!B17</f>
        <v>Lamapuidu eemaldamine kraavist</v>
      </c>
      <c r="C17" s="1271"/>
      <c r="D17" s="1271"/>
      <c r="E17" s="1271"/>
      <c r="F17" s="1272"/>
      <c r="G17" s="62" t="s">
        <v>282</v>
      </c>
      <c r="H17" s="148">
        <f>Tab2a!H17</f>
        <v>17</v>
      </c>
      <c r="I17" s="148"/>
      <c r="J17" s="148">
        <f>Tab2a!J17</f>
        <v>65</v>
      </c>
      <c r="K17" s="148">
        <f>Tab2a!K17</f>
        <v>58</v>
      </c>
      <c r="L17" s="148"/>
      <c r="M17" s="148"/>
      <c r="N17" s="504">
        <f>SUM(H17:M17)</f>
        <v>140</v>
      </c>
      <c r="O17" s="618">
        <v>10</v>
      </c>
      <c r="P17" s="607" t="s">
        <v>401</v>
      </c>
      <c r="Q17" s="148">
        <f>H17*O17</f>
        <v>170</v>
      </c>
      <c r="R17" s="148"/>
      <c r="S17" s="148">
        <f>J17*O17</f>
        <v>650</v>
      </c>
      <c r="T17" s="148">
        <f>K17*O17</f>
        <v>580</v>
      </c>
      <c r="U17" s="148"/>
      <c r="V17" s="148"/>
      <c r="W17" s="518">
        <f>SUM(Q17:V17)</f>
        <v>1400</v>
      </c>
    </row>
    <row r="18" spans="1:23">
      <c r="A18" s="463">
        <f>Tab2a!A18</f>
        <v>12</v>
      </c>
      <c r="B18" s="1270" t="str">
        <f>Tab2a!B18</f>
        <v>Voolutakistuste eemaldamine kraavist</v>
      </c>
      <c r="C18" s="1271"/>
      <c r="D18" s="1271"/>
      <c r="E18" s="1271"/>
      <c r="F18" s="1272"/>
      <c r="G18" s="62" t="s">
        <v>20</v>
      </c>
      <c r="H18" s="10">
        <f>Tab2a!H18</f>
        <v>0.79800000000000004</v>
      </c>
      <c r="I18" s="10"/>
      <c r="J18" s="10">
        <f>Tab2a!J18</f>
        <v>0.32600000000000001</v>
      </c>
      <c r="K18" s="10"/>
      <c r="L18" s="10"/>
      <c r="M18" s="10"/>
      <c r="N18" s="190">
        <f>SUM(H18:M18)</f>
        <v>1.1240000000000001</v>
      </c>
      <c r="O18" s="618">
        <v>122</v>
      </c>
      <c r="P18" s="607" t="s">
        <v>739</v>
      </c>
      <c r="Q18" s="148">
        <f>H18*O18</f>
        <v>97.356000000000009</v>
      </c>
      <c r="R18" s="148"/>
      <c r="S18" s="148">
        <f>J18*O18</f>
        <v>39.771999999999998</v>
      </c>
      <c r="T18" s="148"/>
      <c r="U18" s="148"/>
      <c r="V18" s="148"/>
      <c r="W18" s="518">
        <f>SUM(Q18:V18)</f>
        <v>137.12800000000001</v>
      </c>
    </row>
    <row r="19" spans="1:23" ht="15.75" thickBot="1">
      <c r="A19" s="463">
        <f>Tab2a!A19</f>
        <v>13</v>
      </c>
      <c r="B19" s="1275" t="str">
        <f>Tab2a!B19</f>
        <v>Koprapaisude likvideerimine</v>
      </c>
      <c r="C19" s="1276"/>
      <c r="D19" s="1276"/>
      <c r="E19" s="1276"/>
      <c r="F19" s="1277"/>
      <c r="G19" s="65" t="s">
        <v>24</v>
      </c>
      <c r="H19" s="521"/>
      <c r="I19" s="521"/>
      <c r="J19" s="521"/>
      <c r="K19" s="521"/>
      <c r="L19" s="521"/>
      <c r="M19" s="521"/>
      <c r="N19" s="195"/>
      <c r="O19" s="29">
        <v>184</v>
      </c>
      <c r="P19" s="522" t="s">
        <v>740</v>
      </c>
      <c r="Q19" s="521"/>
      <c r="R19" s="521"/>
      <c r="S19" s="521"/>
      <c r="T19" s="521"/>
      <c r="U19" s="521"/>
      <c r="V19" s="521"/>
      <c r="W19" s="523"/>
    </row>
    <row r="20" spans="1:23" ht="15.75" thickBot="1">
      <c r="A20" s="67"/>
      <c r="B20" s="1650" t="s">
        <v>161</v>
      </c>
      <c r="C20" s="1651"/>
      <c r="D20" s="1651"/>
      <c r="E20" s="1651"/>
      <c r="F20" s="1651"/>
      <c r="G20" s="1651"/>
      <c r="H20" s="1651"/>
      <c r="I20" s="1651"/>
      <c r="J20" s="1651"/>
      <c r="K20" s="1651"/>
      <c r="L20" s="1651"/>
      <c r="M20" s="1651"/>
      <c r="N20" s="1651"/>
      <c r="O20" s="1651"/>
      <c r="P20" s="1651"/>
      <c r="Q20" s="1651"/>
      <c r="R20" s="1651"/>
      <c r="S20" s="1651"/>
      <c r="T20" s="277"/>
      <c r="U20" s="277"/>
      <c r="V20" s="277"/>
      <c r="W20" s="184">
        <f>SUM(W8:W19)</f>
        <v>107404.41089999999</v>
      </c>
    </row>
    <row r="21" spans="1:23" ht="15.75" thickBot="1">
      <c r="A21" s="67">
        <f>Tab2a!A20</f>
        <v>1</v>
      </c>
      <c r="B21" s="527" t="s">
        <v>67</v>
      </c>
      <c r="C21" s="528"/>
      <c r="D21" s="528"/>
      <c r="E21" s="528"/>
      <c r="F21" s="528"/>
      <c r="G21" s="528"/>
      <c r="H21" s="528"/>
      <c r="I21" s="528"/>
      <c r="J21" s="528"/>
      <c r="K21" s="528"/>
      <c r="L21" s="528"/>
      <c r="M21" s="528"/>
      <c r="N21" s="528"/>
      <c r="O21" s="528"/>
      <c r="P21" s="528"/>
      <c r="Q21" s="528"/>
      <c r="R21" s="528"/>
      <c r="S21" s="528"/>
      <c r="T21" s="528"/>
      <c r="U21" s="528"/>
      <c r="V21" s="528"/>
      <c r="W21" s="529"/>
    </row>
    <row r="22" spans="1:23">
      <c r="A22" s="54">
        <f>Tab2a!A21</f>
        <v>2</v>
      </c>
      <c r="B22" s="1657" t="str">
        <f>Tab2a!B21</f>
        <v>Uute kraavide ja nõvade mahamärkimine</v>
      </c>
      <c r="C22" s="1658"/>
      <c r="D22" s="1658"/>
      <c r="E22" s="1658"/>
      <c r="F22" s="1659"/>
      <c r="G22" s="519" t="str">
        <f>Tab2a!G21</f>
        <v>m</v>
      </c>
      <c r="H22" s="520"/>
      <c r="I22" s="520"/>
      <c r="J22" s="20"/>
      <c r="K22" s="20">
        <f>Tab2a!K21</f>
        <v>6052</v>
      </c>
      <c r="L22" s="20">
        <f>Tab2a!L21</f>
        <v>862</v>
      </c>
      <c r="M22" s="20">
        <f>Tab2a!M21</f>
        <v>345</v>
      </c>
      <c r="N22" s="295">
        <f>SUM(H22:M22)</f>
        <v>7259</v>
      </c>
      <c r="O22" s="519">
        <f>64/1000</f>
        <v>6.4000000000000001E-2</v>
      </c>
      <c r="P22" s="519" t="s">
        <v>827</v>
      </c>
      <c r="Q22" s="520"/>
      <c r="R22" s="520"/>
      <c r="S22" s="520"/>
      <c r="T22" s="148">
        <f>K22*O22</f>
        <v>387.32800000000003</v>
      </c>
      <c r="U22" s="148">
        <f>L22*O22</f>
        <v>55.167999999999999</v>
      </c>
      <c r="V22" s="148">
        <f>M22*O22</f>
        <v>22.080000000000002</v>
      </c>
      <c r="W22" s="518">
        <f>SUM(Q22:V22)</f>
        <v>464.57600000000002</v>
      </c>
    </row>
    <row r="23" spans="1:23" s="146" customFormat="1" ht="30" customHeight="1">
      <c r="A23" s="54">
        <f>Tab2a!A22</f>
        <v>3</v>
      </c>
      <c r="B23" s="1294" t="str">
        <f>Tab2a!B22</f>
        <v>Kraavide kaevamine ja setetest puhastamine, I-II gr. Pinnas</v>
      </c>
      <c r="C23" s="1295"/>
      <c r="D23" s="1295"/>
      <c r="E23" s="1295"/>
      <c r="F23" s="1296"/>
      <c r="G23" s="53" t="str">
        <f>Tab2a!G22</f>
        <v>m3</v>
      </c>
      <c r="H23" s="20">
        <f>Tab2a!H22</f>
        <v>7335.7000000000007</v>
      </c>
      <c r="I23" s="20">
        <f>Tab2a!I22</f>
        <v>704</v>
      </c>
      <c r="J23" s="20">
        <f>Tab2a!J22</f>
        <v>21331.600000000002</v>
      </c>
      <c r="K23" s="20">
        <f>Tab2a!K22</f>
        <v>13732.34</v>
      </c>
      <c r="L23" s="20">
        <f>Tab2a!L22</f>
        <v>1176.4699999999998</v>
      </c>
      <c r="M23" s="20">
        <f>Tab2a!M22</f>
        <v>491.46999999999997</v>
      </c>
      <c r="N23" s="295">
        <f>SUM(H23:M23)</f>
        <v>44771.58</v>
      </c>
      <c r="O23" s="147">
        <v>0.52</v>
      </c>
      <c r="P23" s="147" t="s">
        <v>402</v>
      </c>
      <c r="Q23" s="148">
        <f>H23*O23</f>
        <v>3814.5640000000003</v>
      </c>
      <c r="R23" s="148">
        <f>O23*I23</f>
        <v>366.08000000000004</v>
      </c>
      <c r="S23" s="148">
        <f>J23*O23</f>
        <v>11092.432000000001</v>
      </c>
      <c r="T23" s="148">
        <f>K23*O23</f>
        <v>7140.8168000000005</v>
      </c>
      <c r="U23" s="148">
        <f>L23*O23</f>
        <v>611.76439999999991</v>
      </c>
      <c r="V23" s="148">
        <f>M23*O23</f>
        <v>255.56440000000001</v>
      </c>
      <c r="W23" s="518">
        <f>SUM(Q23:V23)</f>
        <v>23281.221600000001</v>
      </c>
    </row>
    <row r="24" spans="1:23" ht="30" customHeight="1">
      <c r="A24" s="54">
        <f>Tab2a!A23</f>
        <v>4</v>
      </c>
      <c r="B24" s="1294" t="str">
        <f>Tab2a!B23</f>
        <v>Ekspluatatsioonieelne sette eemaldamine ekskavaatoriga (10% põhikaevest)</v>
      </c>
      <c r="C24" s="1295"/>
      <c r="D24" s="1295"/>
      <c r="E24" s="1295"/>
      <c r="F24" s="1296"/>
      <c r="G24" s="53" t="str">
        <f>Tab2a!G23</f>
        <v>m3</v>
      </c>
      <c r="H24" s="20">
        <f>Tab2a!H23</f>
        <v>733.57000000000016</v>
      </c>
      <c r="I24" s="20">
        <f>Tab2a!I23</f>
        <v>70.400000000000006</v>
      </c>
      <c r="J24" s="20">
        <f>Tab2a!J23</f>
        <v>2133.1600000000003</v>
      </c>
      <c r="K24" s="20">
        <f>Tab2a!K23</f>
        <v>1373.2340000000002</v>
      </c>
      <c r="L24" s="20">
        <f>Tab2a!L23</f>
        <v>117.64699999999999</v>
      </c>
      <c r="M24" s="20">
        <f>Tab2a!M23</f>
        <v>49.146999999999998</v>
      </c>
      <c r="N24" s="192">
        <f>SUM(H24:M24)</f>
        <v>4477.1580000000004</v>
      </c>
      <c r="O24" s="62">
        <v>2.09</v>
      </c>
      <c r="P24" s="62" t="s">
        <v>403</v>
      </c>
      <c r="Q24" s="148">
        <f>H24*O24</f>
        <v>1533.1613000000002</v>
      </c>
      <c r="R24" s="148">
        <f t="shared" ref="R24:R26" si="0">O24*I24</f>
        <v>147.136</v>
      </c>
      <c r="S24" s="148">
        <f>J24*O24</f>
        <v>4458.3044</v>
      </c>
      <c r="T24" s="148">
        <f>K24*O24</f>
        <v>2870.05906</v>
      </c>
      <c r="U24" s="148">
        <f>L24*O24</f>
        <v>245.88222999999996</v>
      </c>
      <c r="V24" s="148">
        <f>M24*O24</f>
        <v>102.71722999999999</v>
      </c>
      <c r="W24" s="518">
        <f>SUM(Q24:V24)</f>
        <v>9357.2602200000001</v>
      </c>
    </row>
    <row r="25" spans="1:23" ht="30" customHeight="1">
      <c r="A25" s="54">
        <f>Tab2a!A24</f>
        <v>5</v>
      </c>
      <c r="B25" s="1294" t="str">
        <f>Tab2a!B24</f>
        <v>Olemasoleva tee tasandamisjärgne teekraavide täiendav puhastamine varisenud pinnasest</v>
      </c>
      <c r="C25" s="1295"/>
      <c r="D25" s="1295"/>
      <c r="E25" s="1295"/>
      <c r="F25" s="1295"/>
      <c r="G25" s="53" t="str">
        <f>Tab2a!G24</f>
        <v>m3</v>
      </c>
      <c r="H25" s="20"/>
      <c r="I25" s="20"/>
      <c r="J25" s="20">
        <f>Tab2a!J24</f>
        <v>49.5</v>
      </c>
      <c r="K25" s="20">
        <f>Tab2a!K24</f>
        <v>1398.3</v>
      </c>
      <c r="L25" s="20">
        <f>Tab2a!L24</f>
        <v>141.29999999999998</v>
      </c>
      <c r="M25" s="20">
        <f>Tab2a!M24</f>
        <v>90.6</v>
      </c>
      <c r="N25" s="192">
        <f>SUM(H25:M25)</f>
        <v>1679.6999999999998</v>
      </c>
      <c r="O25" s="62">
        <v>2.09</v>
      </c>
      <c r="P25" s="62" t="s">
        <v>403</v>
      </c>
      <c r="Q25" s="148"/>
      <c r="R25" s="148"/>
      <c r="S25" s="148">
        <f>J25*O25</f>
        <v>103.455</v>
      </c>
      <c r="T25" s="148">
        <f>K25*O25</f>
        <v>2922.4469999999997</v>
      </c>
      <c r="U25" s="148">
        <f>L25*O25</f>
        <v>295.31699999999995</v>
      </c>
      <c r="V25" s="148">
        <f>M25*O25</f>
        <v>189.35399999999998</v>
      </c>
      <c r="W25" s="518">
        <f>SUM(Q25:V25)</f>
        <v>3510.5729999999994</v>
      </c>
    </row>
    <row r="26" spans="1:23" ht="15" customHeight="1">
      <c r="A26" s="54">
        <f>Tab2a!A25</f>
        <v>6</v>
      </c>
      <c r="B26" s="1686" t="str">
        <f>Tab2a!B25</f>
        <v>Kaeve laialiajamine (60% kaevest)</v>
      </c>
      <c r="C26" s="1687"/>
      <c r="D26" s="1687"/>
      <c r="E26" s="1687"/>
      <c r="F26" s="1688"/>
      <c r="G26" s="53" t="str">
        <f>Tab2a!G25</f>
        <v>m3</v>
      </c>
      <c r="H26" s="20">
        <f>Tab2a!H25</f>
        <v>4401.42</v>
      </c>
      <c r="I26" s="20">
        <f>Tab2a!I25</f>
        <v>422.4</v>
      </c>
      <c r="J26" s="20">
        <f>Tab2a!J25</f>
        <v>12798.960000000001</v>
      </c>
      <c r="K26" s="20">
        <f>Tab2a!K25</f>
        <v>5632.6059999999998</v>
      </c>
      <c r="L26" s="20">
        <f>Tab2a!L25</f>
        <v>299.59800000000001</v>
      </c>
      <c r="M26" s="20">
        <f>Tab2a!M25</f>
        <v>171.89999999999998</v>
      </c>
      <c r="N26" s="192">
        <f>SUM(H26:M26)</f>
        <v>23726.884000000002</v>
      </c>
      <c r="O26" s="15">
        <v>1.31</v>
      </c>
      <c r="P26" s="506" t="s">
        <v>741</v>
      </c>
      <c r="Q26" s="148">
        <f>H26*O26</f>
        <v>5765.8602000000001</v>
      </c>
      <c r="R26" s="148">
        <f t="shared" si="0"/>
        <v>553.34399999999994</v>
      </c>
      <c r="S26" s="148">
        <f>J26*O26</f>
        <v>16766.637600000002</v>
      </c>
      <c r="T26" s="148">
        <f>K26*O26</f>
        <v>7378.7138599999998</v>
      </c>
      <c r="U26" s="148">
        <f>L26*O26</f>
        <v>392.47338000000002</v>
      </c>
      <c r="V26" s="148">
        <f>M26*O26</f>
        <v>225.18899999999999</v>
      </c>
      <c r="W26" s="518">
        <f>SUM(Q26:V26)</f>
        <v>31082.21804</v>
      </c>
    </row>
    <row r="27" spans="1:23" ht="15" customHeight="1">
      <c r="A27" s="54">
        <f>Tab2a!A26</f>
        <v>7</v>
      </c>
      <c r="B27" s="1686" t="str">
        <f>Tab2a!B26</f>
        <v>Mullete töötlemine (vanad vallid, rööpad)</v>
      </c>
      <c r="C27" s="1687"/>
      <c r="D27" s="1687"/>
      <c r="E27" s="1687"/>
      <c r="F27" s="1688"/>
      <c r="G27" s="53" t="str">
        <f>Tab2a!G26</f>
        <v>m3</v>
      </c>
      <c r="H27" s="20">
        <f>Tab2a!H26</f>
        <v>1484</v>
      </c>
      <c r="I27" s="20"/>
      <c r="J27" s="20"/>
      <c r="K27" s="20"/>
      <c r="L27" s="20"/>
      <c r="M27" s="20"/>
      <c r="N27" s="192">
        <f>SUM(H27:M27)</f>
        <v>1484</v>
      </c>
      <c r="O27" s="15">
        <f>O26</f>
        <v>1.31</v>
      </c>
      <c r="P27" s="62" t="str">
        <f>P26</f>
        <v>T-329</v>
      </c>
      <c r="Q27" s="148">
        <f>H27*O27</f>
        <v>1944.0400000000002</v>
      </c>
      <c r="R27" s="148"/>
      <c r="S27" s="148"/>
      <c r="T27" s="148"/>
      <c r="U27" s="148"/>
      <c r="V27" s="148"/>
      <c r="W27" s="518">
        <f>SUM(Q27:V27)</f>
        <v>1944.0400000000002</v>
      </c>
    </row>
    <row r="28" spans="1:23">
      <c r="A28" s="54">
        <f>Tab2a!A27</f>
        <v>8</v>
      </c>
      <c r="B28" s="1686" t="str">
        <f>Tab2a!B27</f>
        <v>Pinnase paigutamine tee muldesse ja tasandamine</v>
      </c>
      <c r="C28" s="1687"/>
      <c r="D28" s="1687"/>
      <c r="E28" s="1687"/>
      <c r="F28" s="1688"/>
      <c r="G28" s="53" t="str">
        <f>Tab2a!G27</f>
        <v>m3</v>
      </c>
      <c r="H28" s="20"/>
      <c r="I28" s="20"/>
      <c r="J28" s="20"/>
      <c r="K28" s="20">
        <f>Tab2a!K27</f>
        <v>4346.2299999999996</v>
      </c>
      <c r="L28" s="20">
        <f>Tab2a!L27</f>
        <v>559.53</v>
      </c>
      <c r="M28" s="20">
        <f>Tab2a!M27</f>
        <v>204.96999999999997</v>
      </c>
      <c r="N28" s="192">
        <f>SUM(H28:M28)</f>
        <v>5110.7299999999996</v>
      </c>
      <c r="O28" s="78">
        <v>7.2</v>
      </c>
      <c r="P28" s="506" t="s">
        <v>742</v>
      </c>
      <c r="Q28" s="148"/>
      <c r="R28" s="148"/>
      <c r="S28" s="148"/>
      <c r="T28" s="148">
        <f>K28*O28</f>
        <v>31292.855999999996</v>
      </c>
      <c r="U28" s="148">
        <f>L28*O28</f>
        <v>4028.616</v>
      </c>
      <c r="V28" s="148">
        <f>M28*O28</f>
        <v>1475.7839999999999</v>
      </c>
      <c r="W28" s="518">
        <f>SUM(Q28:V28)</f>
        <v>36797.255999999994</v>
      </c>
    </row>
    <row r="29" spans="1:23" ht="30" customHeight="1" thickBot="1">
      <c r="A29" s="54">
        <f>Tab2a!A28</f>
        <v>9</v>
      </c>
      <c r="B29" s="1676" t="str">
        <f>Tab2a!B28</f>
        <v>Di=30 cm plasttorust veeviimari paigaldamine mullavalli alla, L= 8 m</v>
      </c>
      <c r="C29" s="1677"/>
      <c r="D29" s="1677"/>
      <c r="E29" s="1677"/>
      <c r="F29" s="1678"/>
      <c r="G29" s="79" t="str">
        <f>Tab2a!G28</f>
        <v>tk</v>
      </c>
      <c r="H29" s="29">
        <f>'Tab8'!AC25</f>
        <v>16</v>
      </c>
      <c r="I29" s="20">
        <f>Tab2a!I28</f>
        <v>1</v>
      </c>
      <c r="J29" s="29">
        <f>'Tab8'!AC71</f>
        <v>22</v>
      </c>
      <c r="K29" s="513"/>
      <c r="L29" s="40"/>
      <c r="M29" s="40"/>
      <c r="N29" s="514">
        <f>SUM(H29:M29)</f>
        <v>39</v>
      </c>
      <c r="O29" s="65">
        <v>101</v>
      </c>
      <c r="P29" s="65" t="s">
        <v>514</v>
      </c>
      <c r="Q29" s="29">
        <f>H29*O29</f>
        <v>1616</v>
      </c>
      <c r="R29" s="29"/>
      <c r="S29" s="29">
        <f>J29*O29</f>
        <v>2222</v>
      </c>
      <c r="T29" s="29"/>
      <c r="U29" s="29"/>
      <c r="V29" s="29"/>
      <c r="W29" s="72">
        <f>SUM(Q29:V29)</f>
        <v>3838</v>
      </c>
    </row>
    <row r="30" spans="1:23" ht="20.25" customHeight="1" thickBot="1">
      <c r="A30" s="54"/>
      <c r="B30" s="1650" t="s">
        <v>161</v>
      </c>
      <c r="C30" s="1651"/>
      <c r="D30" s="1651"/>
      <c r="E30" s="1651"/>
      <c r="F30" s="1651"/>
      <c r="G30" s="1651"/>
      <c r="H30" s="1651"/>
      <c r="I30" s="1651"/>
      <c r="J30" s="1651"/>
      <c r="K30" s="1651"/>
      <c r="L30" s="1651"/>
      <c r="M30" s="1651"/>
      <c r="N30" s="1651"/>
      <c r="O30" s="1651"/>
      <c r="P30" s="1651"/>
      <c r="Q30" s="1651"/>
      <c r="R30" s="1651"/>
      <c r="S30" s="1651"/>
      <c r="T30" s="277"/>
      <c r="U30" s="277"/>
      <c r="V30" s="277"/>
      <c r="W30" s="184">
        <f>SUM(W22:W29)</f>
        <v>110275.14485999999</v>
      </c>
    </row>
    <row r="31" spans="1:23" ht="15.75" thickBot="1">
      <c r="A31" s="67">
        <f>Tab2a!A29</f>
        <v>1</v>
      </c>
      <c r="B31" s="527" t="s">
        <v>75</v>
      </c>
      <c r="C31" s="528"/>
      <c r="D31" s="528"/>
      <c r="E31" s="528"/>
      <c r="F31" s="528"/>
      <c r="G31" s="528"/>
      <c r="H31" s="528"/>
      <c r="I31" s="528"/>
      <c r="J31" s="528"/>
      <c r="K31" s="528"/>
      <c r="L31" s="528"/>
      <c r="M31" s="528"/>
      <c r="N31" s="528"/>
      <c r="O31" s="528"/>
      <c r="P31" s="528"/>
      <c r="Q31" s="528"/>
      <c r="R31" s="528"/>
      <c r="S31" s="528"/>
      <c r="T31" s="528"/>
      <c r="U31" s="528"/>
      <c r="V31" s="528"/>
      <c r="W31" s="529"/>
    </row>
    <row r="32" spans="1:23">
      <c r="A32" s="67">
        <f>Tab2a!A30</f>
        <v>2</v>
      </c>
      <c r="B32" s="1684" t="str">
        <f>Tab2a!B30</f>
        <v>Truupide mahamärkimine</v>
      </c>
      <c r="C32" s="1685"/>
      <c r="D32" s="1685"/>
      <c r="E32" s="1685"/>
      <c r="F32" s="1685"/>
      <c r="G32" s="61" t="str">
        <f>Tab2a!G30</f>
        <v>tk</v>
      </c>
      <c r="H32" s="61">
        <f>Tab2a!H30</f>
        <v>4</v>
      </c>
      <c r="I32" s="61"/>
      <c r="J32" s="61">
        <f>Tab2a!J30</f>
        <v>5</v>
      </c>
      <c r="K32" s="61">
        <f>Tab2a!K30</f>
        <v>27</v>
      </c>
      <c r="L32" s="61">
        <f>Tab2a!L30</f>
        <v>5</v>
      </c>
      <c r="M32" s="61">
        <f>Tab2a!M30</f>
        <v>3</v>
      </c>
      <c r="N32" s="516">
        <f>SUM(H32:M32)</f>
        <v>44</v>
      </c>
      <c r="O32" s="61">
        <v>23.78</v>
      </c>
      <c r="P32" s="61" t="s">
        <v>404</v>
      </c>
      <c r="Q32" s="33">
        <f>H32*O32</f>
        <v>95.12</v>
      </c>
      <c r="R32" s="33"/>
      <c r="S32" s="33">
        <f>J32*O32</f>
        <v>118.9</v>
      </c>
      <c r="T32" s="33">
        <f>K32*O32</f>
        <v>642.06000000000006</v>
      </c>
      <c r="U32" s="33">
        <f>L32*O32</f>
        <v>118.9</v>
      </c>
      <c r="V32" s="33">
        <f>M32*O32</f>
        <v>71.34</v>
      </c>
      <c r="W32" s="517">
        <f>SUM(Q32:V32)</f>
        <v>1046.32</v>
      </c>
    </row>
    <row r="33" spans="1:23" ht="30" customHeight="1">
      <c r="A33" s="67">
        <f>Tab2a!A31</f>
        <v>3</v>
      </c>
      <c r="B33" s="1329" t="str">
        <f>Tab2a!B31</f>
        <v>Di=40 cm plasttruubi torustiku, tüüp 50PT, ehitamine (profileeritud plasttoru, SN8)</v>
      </c>
      <c r="C33" s="1330"/>
      <c r="D33" s="1330"/>
      <c r="E33" s="1330"/>
      <c r="F33" s="1330"/>
      <c r="G33" s="62" t="str">
        <f>Tab2a!G31</f>
        <v>m</v>
      </c>
      <c r="H33" s="62">
        <f>Tab2a!H31</f>
        <v>30</v>
      </c>
      <c r="I33" s="62"/>
      <c r="J33" s="62">
        <f>Tab2a!J31</f>
        <v>40</v>
      </c>
      <c r="K33" s="62">
        <f>Tab2a!K31</f>
        <v>247</v>
      </c>
      <c r="L33" s="62">
        <f>Tab2a!L31</f>
        <v>50</v>
      </c>
      <c r="M33" s="62">
        <f>Tab2a!M31</f>
        <v>30</v>
      </c>
      <c r="N33" s="512">
        <f>SUM(H33:M33)</f>
        <v>397</v>
      </c>
      <c r="O33" s="147">
        <v>42</v>
      </c>
      <c r="P33" s="505" t="s">
        <v>744</v>
      </c>
      <c r="Q33" s="20">
        <f>H33*O33</f>
        <v>1260</v>
      </c>
      <c r="R33" s="20"/>
      <c r="S33" s="20">
        <f>J33*O33</f>
        <v>1680</v>
      </c>
      <c r="T33" s="20">
        <f>K33*O33</f>
        <v>10374</v>
      </c>
      <c r="U33" s="20">
        <f>L33*O33</f>
        <v>2100</v>
      </c>
      <c r="V33" s="20">
        <f>M33*O33</f>
        <v>1260</v>
      </c>
      <c r="W33" s="518">
        <f>SUM(Q33:V33)</f>
        <v>16674</v>
      </c>
    </row>
    <row r="34" spans="1:23" ht="30" customHeight="1">
      <c r="A34" s="67">
        <f>Tab2a!A32</f>
        <v>4</v>
      </c>
      <c r="B34" s="1329" t="str">
        <f>Tab2a!B32</f>
        <v>Di=50 cm plasttruubi torustiku, tüüp 50PT, ehitamine (profileeritud plasttoru, SN8)</v>
      </c>
      <c r="C34" s="1330"/>
      <c r="D34" s="1330"/>
      <c r="E34" s="1330"/>
      <c r="F34" s="1330"/>
      <c r="G34" s="62" t="str">
        <f>Tab2a!G32</f>
        <v>m</v>
      </c>
      <c r="H34" s="62">
        <f>Tab2a!H32</f>
        <v>10</v>
      </c>
      <c r="I34" s="62"/>
      <c r="J34" s="62"/>
      <c r="L34" s="62"/>
      <c r="M34" s="62"/>
      <c r="N34" s="512">
        <f>SUM(H34:M34)</f>
        <v>10</v>
      </c>
      <c r="O34" s="62">
        <v>52.22</v>
      </c>
      <c r="P34" s="62" t="s">
        <v>405</v>
      </c>
      <c r="Q34" s="20">
        <f>H34*O34</f>
        <v>522.20000000000005</v>
      </c>
      <c r="R34" s="20"/>
      <c r="S34" s="20"/>
      <c r="U34" s="20"/>
      <c r="V34" s="20"/>
      <c r="W34" s="518">
        <f>SUM(Q34:V34)</f>
        <v>522.20000000000005</v>
      </c>
    </row>
    <row r="35" spans="1:23" ht="30" customHeight="1">
      <c r="A35" s="67">
        <f>Tab2a!A33</f>
        <v>5</v>
      </c>
      <c r="B35" s="1329" t="str">
        <f>Tab2a!B33</f>
        <v>Di=60 cm plasttruubi torustiku, tüüp 60PT, ehitamine (profileeritud plasttoru, SN8)</v>
      </c>
      <c r="C35" s="1330"/>
      <c r="D35" s="1330"/>
      <c r="E35" s="1330"/>
      <c r="F35" s="1330"/>
      <c r="G35" s="62" t="str">
        <f>Tab2a!G33</f>
        <v>m</v>
      </c>
      <c r="H35" s="62"/>
      <c r="I35" s="62"/>
      <c r="J35" s="62">
        <f>Tab2a!J33</f>
        <v>10</v>
      </c>
      <c r="K35" s="62">
        <f>Tab2a!K33</f>
        <v>12</v>
      </c>
      <c r="L35" s="62"/>
      <c r="M35" s="62"/>
      <c r="N35" s="512">
        <f>SUM(H35:M35)</f>
        <v>22</v>
      </c>
      <c r="O35" s="62">
        <v>77.650000000000006</v>
      </c>
      <c r="P35" s="62" t="s">
        <v>406</v>
      </c>
      <c r="Q35" s="20"/>
      <c r="R35" s="20"/>
      <c r="S35" s="20">
        <f>J35*O35</f>
        <v>776.5</v>
      </c>
      <c r="T35" s="20">
        <f>K35*O35</f>
        <v>931.80000000000007</v>
      </c>
      <c r="U35" s="20"/>
      <c r="V35" s="20"/>
      <c r="W35" s="518">
        <f>SUM(Q35:V35)</f>
        <v>1708.3000000000002</v>
      </c>
    </row>
    <row r="36" spans="1:23" ht="30" customHeight="1" thickBot="1">
      <c r="A36" s="67">
        <f>Tab2a!A34</f>
        <v>6</v>
      </c>
      <c r="B36" s="1663" t="str">
        <f>Tab2a!B34</f>
        <v>Di=100 cm plasttruubi torustiku, tüüp 100PT, ehitamine (profileeritud plasttoru, SN8)</v>
      </c>
      <c r="C36" s="1664"/>
      <c r="D36" s="1664"/>
      <c r="E36" s="1664"/>
      <c r="F36" s="1664"/>
      <c r="G36" s="65" t="str">
        <f>Tab2a!G34</f>
        <v>m</v>
      </c>
      <c r="H36" s="65"/>
      <c r="I36" s="65"/>
      <c r="J36" s="65"/>
      <c r="K36" s="65">
        <f>Tab2a!K34</f>
        <v>12</v>
      </c>
      <c r="L36" s="65"/>
      <c r="M36" s="65"/>
      <c r="N36" s="935">
        <f>SUM(H36:M36)</f>
        <v>12</v>
      </c>
      <c r="O36" s="65">
        <v>239.03</v>
      </c>
      <c r="P36" s="65" t="s">
        <v>407</v>
      </c>
      <c r="Q36" s="29"/>
      <c r="R36" s="29"/>
      <c r="S36" s="29"/>
      <c r="T36" s="29">
        <f>K36*O36</f>
        <v>2868.36</v>
      </c>
      <c r="U36" s="29"/>
      <c r="V36" s="29"/>
      <c r="W36" s="72">
        <f>SUM(Q36:V36)</f>
        <v>2868.36</v>
      </c>
    </row>
    <row r="37" spans="1:23" ht="15.75">
      <c r="A37" s="67">
        <f>Tab2a!A35</f>
        <v>7</v>
      </c>
      <c r="B37" s="1321" t="str">
        <f>Tab2a!B35</f>
        <v xml:space="preserve">Ø 40 cm plasttruubi mattotsaku ehitamine (tüüp MAO) </v>
      </c>
      <c r="C37" s="1322"/>
      <c r="D37" s="1322"/>
      <c r="E37" s="1322"/>
      <c r="F37" s="1322"/>
      <c r="G37" s="147" t="str">
        <f>Tab2a!G35</f>
        <v>2 otsakut</v>
      </c>
      <c r="H37" s="147">
        <f>Tab2a!H35</f>
        <v>2</v>
      </c>
      <c r="I37" s="147"/>
      <c r="J37" s="147">
        <f>Tab2a!J35</f>
        <v>4</v>
      </c>
      <c r="K37" s="147"/>
      <c r="L37" s="147"/>
      <c r="M37" s="147"/>
      <c r="N37" s="191">
        <f>SUM(H37:M37)</f>
        <v>6</v>
      </c>
      <c r="O37" s="147">
        <v>131</v>
      </c>
      <c r="P37" s="1766" t="s">
        <v>408</v>
      </c>
      <c r="Q37" s="148">
        <f>H37*O37</f>
        <v>262</v>
      </c>
      <c r="R37" s="148"/>
      <c r="S37" s="148">
        <f>J37*O37</f>
        <v>524</v>
      </c>
      <c r="T37" s="148"/>
      <c r="U37" s="148"/>
      <c r="V37" s="148"/>
      <c r="W37" s="518">
        <f>SUM(Q37:V37)</f>
        <v>786</v>
      </c>
    </row>
    <row r="38" spans="1:23">
      <c r="A38" s="67">
        <f>Tab2a!A36</f>
        <v>8</v>
      </c>
      <c r="B38" s="1329" t="str">
        <f>Tab2a!B36</f>
        <v xml:space="preserve">Ø 50 cm plasttruubi mattotsaku ehitamine (tüüp MAO) </v>
      </c>
      <c r="C38" s="1330"/>
      <c r="D38" s="1330"/>
      <c r="E38" s="1330"/>
      <c r="F38" s="1330"/>
      <c r="G38" s="62" t="str">
        <f>Tab2a!G36</f>
        <v>2 otsakut</v>
      </c>
      <c r="H38" s="62">
        <f>Tab2a!H36</f>
        <v>1</v>
      </c>
      <c r="I38" s="62"/>
      <c r="J38" s="62"/>
      <c r="K38" s="62"/>
      <c r="L38" s="62"/>
      <c r="M38" s="62"/>
      <c r="N38" s="512">
        <f>SUM(H38:M38)</f>
        <v>1</v>
      </c>
      <c r="O38" s="62">
        <v>131</v>
      </c>
      <c r="P38" s="62" t="s">
        <v>408</v>
      </c>
      <c r="Q38" s="20">
        <f>H38*O38</f>
        <v>131</v>
      </c>
      <c r="R38" s="20"/>
      <c r="S38" s="20"/>
      <c r="T38" s="20"/>
      <c r="U38" s="20"/>
      <c r="V38" s="20"/>
      <c r="W38" s="518">
        <f>SUM(Q38:V38)</f>
        <v>131</v>
      </c>
    </row>
    <row r="39" spans="1:23" ht="30" customHeight="1">
      <c r="A39" s="67">
        <f>Tab2a!A37</f>
        <v>9</v>
      </c>
      <c r="B39" s="1329" t="str">
        <f>Tab2a!B37</f>
        <v xml:space="preserve">Ø 40 cm plasttruubi mattotsaku kivikindlustusega ehitamine (tüüp MAOK) </v>
      </c>
      <c r="C39" s="1330"/>
      <c r="D39" s="1330"/>
      <c r="E39" s="1330"/>
      <c r="F39" s="1330"/>
      <c r="G39" s="62" t="str">
        <f>Tab2a!G37</f>
        <v>2 otsakut</v>
      </c>
      <c r="H39" s="62">
        <f>Tab2a!H37</f>
        <v>1</v>
      </c>
      <c r="I39" s="62"/>
      <c r="J39" s="62"/>
      <c r="K39" s="62">
        <f>Tab2a!K37</f>
        <v>18</v>
      </c>
      <c r="L39" s="62">
        <f>Tab2a!L37</f>
        <v>2</v>
      </c>
      <c r="M39" s="62">
        <f>Tab2a!M37</f>
        <v>2</v>
      </c>
      <c r="N39" s="512">
        <f>SUM(H39:M39)</f>
        <v>23</v>
      </c>
      <c r="O39" s="62">
        <v>82</v>
      </c>
      <c r="P39" s="505" t="s">
        <v>745</v>
      </c>
      <c r="Q39" s="20">
        <f>H39*O39</f>
        <v>82</v>
      </c>
      <c r="R39" s="20"/>
      <c r="S39" s="20"/>
      <c r="T39" s="20">
        <f>K39*O39</f>
        <v>1476</v>
      </c>
      <c r="U39" s="20">
        <f>L39*O39</f>
        <v>164</v>
      </c>
      <c r="V39" s="20">
        <f>M39*O39</f>
        <v>164</v>
      </c>
      <c r="W39" s="518">
        <f>SUM(Q39:V39)</f>
        <v>1886</v>
      </c>
    </row>
    <row r="40" spans="1:23" ht="30" customHeight="1">
      <c r="A40" s="67">
        <f>Tab2a!A38</f>
        <v>10</v>
      </c>
      <c r="B40" s="1329" t="str">
        <f>Tab2a!B38</f>
        <v xml:space="preserve">Ø 60 cm plasttruubi mattotsaku kivikindlustusega ehitamine (tüüp MAOK) </v>
      </c>
      <c r="C40" s="1330"/>
      <c r="D40" s="1330"/>
      <c r="E40" s="1330"/>
      <c r="F40" s="1330"/>
      <c r="G40" s="62" t="str">
        <f>Tab2a!G38</f>
        <v>2 otsakut</v>
      </c>
      <c r="H40" s="62"/>
      <c r="I40" s="62"/>
      <c r="J40" s="62">
        <f>Tab2a!J38</f>
        <v>1</v>
      </c>
      <c r="K40" s="62"/>
      <c r="L40" s="62"/>
      <c r="M40" s="62"/>
      <c r="N40" s="512">
        <f>SUM(H40:M40)</f>
        <v>1</v>
      </c>
      <c r="O40" s="62">
        <v>184</v>
      </c>
      <c r="P40" s="505" t="s">
        <v>746</v>
      </c>
      <c r="Q40" s="20"/>
      <c r="R40" s="20"/>
      <c r="S40" s="20">
        <f>J40*O40</f>
        <v>184</v>
      </c>
      <c r="T40" s="20"/>
      <c r="U40" s="20"/>
      <c r="V40" s="20"/>
      <c r="W40" s="518">
        <f>SUM(Q40:V40)</f>
        <v>184</v>
      </c>
    </row>
    <row r="41" spans="1:23" ht="30" customHeight="1">
      <c r="A41" s="67">
        <f>Tab2a!A39</f>
        <v>11</v>
      </c>
      <c r="B41" s="1329" t="str">
        <f>Tab2a!B39</f>
        <v xml:space="preserve">Ø 40 cm plasttruubi kiviotsaku kivikindlustusega ehitamine (tüüp KOK) </v>
      </c>
      <c r="C41" s="1330"/>
      <c r="D41" s="1330"/>
      <c r="E41" s="1330"/>
      <c r="F41" s="1330"/>
      <c r="G41" s="62" t="str">
        <f>Tab2a!G39</f>
        <v>2 otsakut</v>
      </c>
      <c r="H41" s="62"/>
      <c r="I41" s="62"/>
      <c r="J41" s="62"/>
      <c r="K41" s="62">
        <f>Tab2a!K39</f>
        <v>7</v>
      </c>
      <c r="L41" s="62">
        <f>Tab2a!L39</f>
        <v>3</v>
      </c>
      <c r="M41" s="62">
        <f>Tab2a!M39</f>
        <v>1</v>
      </c>
      <c r="N41" s="512">
        <f>SUM(H41:M41)</f>
        <v>11</v>
      </c>
      <c r="O41" s="62">
        <v>243</v>
      </c>
      <c r="P41" s="505" t="s">
        <v>747</v>
      </c>
      <c r="Q41" s="20"/>
      <c r="R41" s="20"/>
      <c r="S41" s="20"/>
      <c r="T41" s="20">
        <f>K41*O41</f>
        <v>1701</v>
      </c>
      <c r="U41" s="20">
        <f>L41*O41</f>
        <v>729</v>
      </c>
      <c r="V41" s="20">
        <f>M41*O41</f>
        <v>243</v>
      </c>
      <c r="W41" s="518">
        <f>SUM(Q41:V41)</f>
        <v>2673</v>
      </c>
    </row>
    <row r="42" spans="1:23" ht="30" customHeight="1">
      <c r="A42" s="67">
        <f>Tab2a!A40</f>
        <v>12</v>
      </c>
      <c r="B42" s="1329" t="str">
        <f>Tab2a!B40</f>
        <v xml:space="preserve">Ø 60 cm plasttruubi kiviotsaku kivikindlustusega ehitamine (tüüp KOK) </v>
      </c>
      <c r="C42" s="1330"/>
      <c r="D42" s="1330"/>
      <c r="E42" s="1330"/>
      <c r="F42" s="1330"/>
      <c r="G42" s="62" t="str">
        <f>Tab2a!G40</f>
        <v>2 otsakut</v>
      </c>
      <c r="H42" s="62"/>
      <c r="I42" s="62"/>
      <c r="J42" s="62"/>
      <c r="K42" s="62">
        <f>Tab2a!K40</f>
        <v>1</v>
      </c>
      <c r="L42" s="62"/>
      <c r="M42" s="62"/>
      <c r="N42" s="512">
        <f>SUM(H42:M42)</f>
        <v>1</v>
      </c>
      <c r="O42" s="62">
        <v>455</v>
      </c>
      <c r="P42" s="505" t="s">
        <v>748</v>
      </c>
      <c r="Q42" s="20"/>
      <c r="R42" s="20"/>
      <c r="S42" s="20"/>
      <c r="T42" s="20">
        <f>K42*O42</f>
        <v>455</v>
      </c>
      <c r="U42" s="20"/>
      <c r="V42" s="20"/>
      <c r="W42" s="518">
        <f>SUM(Q42:V42)</f>
        <v>455</v>
      </c>
    </row>
    <row r="43" spans="1:23" ht="30" customHeight="1" thickBot="1">
      <c r="A43" s="67">
        <f>Tab2a!A41</f>
        <v>13</v>
      </c>
      <c r="B43" s="1663" t="str">
        <f>Tab2a!B41</f>
        <v xml:space="preserve">Ø 100 cm plasttruubi kiviotsaku kivikindlustusega ehitamine (tüüp KOK) </v>
      </c>
      <c r="C43" s="1664"/>
      <c r="D43" s="1664"/>
      <c r="E43" s="1664"/>
      <c r="F43" s="1664"/>
      <c r="G43" s="65" t="str">
        <f>Tab2a!G41</f>
        <v>2 otsakut</v>
      </c>
      <c r="H43" s="65"/>
      <c r="I43" s="65"/>
      <c r="J43" s="65"/>
      <c r="K43" s="65">
        <f>Tab2a!K41</f>
        <v>1</v>
      </c>
      <c r="L43" s="65"/>
      <c r="M43" s="65"/>
      <c r="N43" s="935">
        <f>SUM(H43:M43)</f>
        <v>1</v>
      </c>
      <c r="O43" s="65">
        <v>1118</v>
      </c>
      <c r="P43" s="1767" t="s">
        <v>749</v>
      </c>
      <c r="Q43" s="29"/>
      <c r="R43" s="29"/>
      <c r="S43" s="29"/>
      <c r="T43" s="29">
        <f>K43*O43</f>
        <v>1118</v>
      </c>
      <c r="U43" s="29"/>
      <c r="V43" s="29"/>
      <c r="W43" s="72">
        <f>SUM(Q43:V43)</f>
        <v>1118</v>
      </c>
    </row>
    <row r="44" spans="1:23">
      <c r="A44" s="67">
        <f>Tab2a!A42</f>
        <v>14</v>
      </c>
      <c r="B44" s="1321" t="str">
        <f>Tab2a!B42</f>
        <v>Veejuhtme täide mineraalpinnasega</v>
      </c>
      <c r="C44" s="1322"/>
      <c r="D44" s="1322"/>
      <c r="E44" s="1322"/>
      <c r="F44" s="1322"/>
      <c r="G44" s="147" t="str">
        <f>Tab2a!G42</f>
        <v>m3</v>
      </c>
      <c r="H44" s="147">
        <f>Tab2a!H42</f>
        <v>56</v>
      </c>
      <c r="I44" s="147"/>
      <c r="J44" s="147">
        <f>Tab2a!J42</f>
        <v>70</v>
      </c>
      <c r="K44" s="147">
        <f>Tab2a!K42</f>
        <v>378</v>
      </c>
      <c r="L44" s="147">
        <f>Tab2a!L42</f>
        <v>70</v>
      </c>
      <c r="M44" s="147">
        <f>Tab2a!M42</f>
        <v>42</v>
      </c>
      <c r="N44" s="191">
        <f>SUM(H44:M44)</f>
        <v>616</v>
      </c>
      <c r="O44" s="147">
        <v>10</v>
      </c>
      <c r="P44" s="147" t="s">
        <v>750</v>
      </c>
      <c r="Q44" s="148">
        <f>H44*O44</f>
        <v>560</v>
      </c>
      <c r="R44" s="148"/>
      <c r="S44" s="148">
        <f>J44*O44</f>
        <v>700</v>
      </c>
      <c r="T44" s="148">
        <f>K44*O44</f>
        <v>3780</v>
      </c>
      <c r="U44" s="148">
        <f>L44*O44</f>
        <v>700</v>
      </c>
      <c r="V44" s="148">
        <f>M44*O44</f>
        <v>420</v>
      </c>
      <c r="W44" s="518">
        <f>SUM(Q44:V44)</f>
        <v>6160</v>
      </c>
    </row>
    <row r="45" spans="1:23">
      <c r="A45" s="67">
        <f>Tab2a!A43</f>
        <v>15</v>
      </c>
      <c r="B45" s="1329" t="str">
        <f>Tab2a!B43</f>
        <v>Täiendav kaeve ka. vana truubi lahtikaeve</v>
      </c>
      <c r="C45" s="1330"/>
      <c r="D45" s="1330"/>
      <c r="E45" s="1330"/>
      <c r="F45" s="1330"/>
      <c r="G45" s="62" t="str">
        <f>Tab2a!G43</f>
        <v>m3</v>
      </c>
      <c r="H45" s="62">
        <f>Tab2a!H43</f>
        <v>21</v>
      </c>
      <c r="I45" s="62"/>
      <c r="J45" s="62">
        <f>Tab2a!J43</f>
        <v>31</v>
      </c>
      <c r="K45" s="62">
        <f>Tab2a!K43</f>
        <v>262</v>
      </c>
      <c r="L45" s="62">
        <f>Tab2a!L43</f>
        <v>37</v>
      </c>
      <c r="M45" s="62">
        <f>Tab2a!M43</f>
        <v>28</v>
      </c>
      <c r="N45" s="512">
        <f>SUM(H45:M45)</f>
        <v>379</v>
      </c>
      <c r="O45" s="62">
        <v>0.52</v>
      </c>
      <c r="P45" s="62" t="s">
        <v>402</v>
      </c>
      <c r="Q45" s="20">
        <f>H45*O45</f>
        <v>10.92</v>
      </c>
      <c r="R45" s="20"/>
      <c r="S45" s="20">
        <f>J45*O45</f>
        <v>16.12</v>
      </c>
      <c r="T45" s="20">
        <f>K45*O45</f>
        <v>136.24</v>
      </c>
      <c r="U45" s="20">
        <f>L45*O45</f>
        <v>19.240000000000002</v>
      </c>
      <c r="V45" s="20">
        <f>M45*O45</f>
        <v>14.56</v>
      </c>
      <c r="W45" s="518">
        <f t="shared" ref="W45:W51" si="1">SUM(Q45:V45)</f>
        <v>197.08</v>
      </c>
    </row>
    <row r="46" spans="1:23">
      <c r="A46" s="67">
        <f>Tab2a!A44</f>
        <v>16</v>
      </c>
      <c r="B46" s="1329" t="str">
        <f>Tab2a!B44</f>
        <v>Kruus teekatte taastamiseks</v>
      </c>
      <c r="C46" s="1330"/>
      <c r="D46" s="1330"/>
      <c r="E46" s="1330"/>
      <c r="F46" s="1330"/>
      <c r="G46" s="62" t="str">
        <f>Tab2a!G44</f>
        <v>m3</v>
      </c>
      <c r="H46" s="62"/>
      <c r="I46" s="62"/>
      <c r="J46" s="62"/>
      <c r="K46" s="62">
        <f>Tab2a!K44</f>
        <v>40</v>
      </c>
      <c r="L46" s="62">
        <f>Tab2a!L44</f>
        <v>20</v>
      </c>
      <c r="M46" s="62"/>
      <c r="N46" s="512">
        <f>SUM(H46:M46)</f>
        <v>60</v>
      </c>
      <c r="O46" s="62">
        <v>10</v>
      </c>
      <c r="P46" s="62" t="s">
        <v>401</v>
      </c>
      <c r="Q46" s="20"/>
      <c r="R46" s="20"/>
      <c r="S46" s="20"/>
      <c r="T46" s="20">
        <f>K46*O46</f>
        <v>400</v>
      </c>
      <c r="U46" s="20">
        <f>L46*O46</f>
        <v>200</v>
      </c>
      <c r="V46" s="20"/>
      <c r="W46" s="518">
        <f t="shared" si="1"/>
        <v>600</v>
      </c>
    </row>
    <row r="47" spans="1:23">
      <c r="A47" s="67">
        <f>Tab2a!A45</f>
        <v>17</v>
      </c>
      <c r="B47" s="1329" t="str">
        <f>Tab2a!B45</f>
        <v>Tähispostid truubile</v>
      </c>
      <c r="C47" s="1330"/>
      <c r="D47" s="1330"/>
      <c r="E47" s="1330"/>
      <c r="F47" s="1330"/>
      <c r="G47" s="62" t="str">
        <f>Tab2a!G45</f>
        <v>tk</v>
      </c>
      <c r="H47" s="62"/>
      <c r="I47" s="62"/>
      <c r="J47" s="62"/>
      <c r="K47" s="62">
        <f>Tab2a!K45</f>
        <v>18</v>
      </c>
      <c r="L47" s="62">
        <f>Tab2a!L45</f>
        <v>6</v>
      </c>
      <c r="M47" s="62">
        <f>Tab2a!M45</f>
        <v>2</v>
      </c>
      <c r="N47" s="512">
        <f>SUM(H47:M47)</f>
        <v>26</v>
      </c>
      <c r="O47" s="62">
        <v>17</v>
      </c>
      <c r="P47" s="62" t="s">
        <v>751</v>
      </c>
      <c r="Q47" s="20"/>
      <c r="R47" s="20"/>
      <c r="S47" s="20"/>
      <c r="T47" s="20">
        <f>K47*O47</f>
        <v>306</v>
      </c>
      <c r="U47" s="20">
        <f>L47*O47</f>
        <v>102</v>
      </c>
      <c r="V47" s="20">
        <f>M47*O47</f>
        <v>34</v>
      </c>
      <c r="W47" s="518">
        <f t="shared" si="1"/>
        <v>442</v>
      </c>
    </row>
    <row r="48" spans="1:23">
      <c r="A48" s="67">
        <f>Tab2a!A46</f>
        <v>18</v>
      </c>
      <c r="B48" s="1239" t="str">
        <f>Tab2a!B46</f>
        <v>Ø 50 cm truubitoru (r/b) väljatõstmine ja utiliseerimine</v>
      </c>
      <c r="C48" s="1240"/>
      <c r="D48" s="1240"/>
      <c r="E48" s="1240"/>
      <c r="F48" s="1241"/>
      <c r="G48" s="62" t="str">
        <f>Tab2a!G46</f>
        <v>m</v>
      </c>
      <c r="H48" s="62">
        <f>Tab2a!H46</f>
        <v>11</v>
      </c>
      <c r="I48" s="62"/>
      <c r="J48" s="62">
        <f>Tab2a!J46</f>
        <v>12</v>
      </c>
      <c r="K48" s="62">
        <f>Tab2a!K46</f>
        <v>21</v>
      </c>
      <c r="L48" s="62">
        <f>Tab2a!L46</f>
        <v>7</v>
      </c>
      <c r="M48" s="62">
        <f>Tab2a!M46</f>
        <v>8</v>
      </c>
      <c r="N48" s="512">
        <f>SUM(H48:M48)</f>
        <v>59</v>
      </c>
      <c r="O48" s="62">
        <v>9.1</v>
      </c>
      <c r="P48" s="62" t="s">
        <v>820</v>
      </c>
      <c r="Q48" s="20">
        <f>H48*O48</f>
        <v>100.1</v>
      </c>
      <c r="R48" s="20"/>
      <c r="S48" s="20">
        <f>J48*O48</f>
        <v>109.19999999999999</v>
      </c>
      <c r="T48" s="20">
        <f>K48*O48</f>
        <v>191.1</v>
      </c>
      <c r="U48" s="20">
        <f>L48*O48</f>
        <v>63.699999999999996</v>
      </c>
      <c r="V48" s="20">
        <f>M48*O48</f>
        <v>72.8</v>
      </c>
      <c r="W48" s="518">
        <f t="shared" si="1"/>
        <v>536.9</v>
      </c>
    </row>
    <row r="49" spans="1:23">
      <c r="A49" s="67">
        <f>Tab2a!A47</f>
        <v>19</v>
      </c>
      <c r="B49" s="1239" t="str">
        <f>Tab2a!B47</f>
        <v>Ø 75 cm truubitoru (r/b) väljatõstmine ja utiliseerimine</v>
      </c>
      <c r="C49" s="1240"/>
      <c r="D49" s="1240"/>
      <c r="E49" s="1240"/>
      <c r="F49" s="1241"/>
      <c r="G49" s="62" t="str">
        <f>Tab2a!G47</f>
        <v>m</v>
      </c>
      <c r="H49" s="62"/>
      <c r="I49" s="62"/>
      <c r="J49" s="62">
        <f>Tab2a!J47</f>
        <v>9</v>
      </c>
      <c r="K49" s="62">
        <f>Tab2a!K47</f>
        <v>13</v>
      </c>
      <c r="L49" s="62"/>
      <c r="M49" s="62"/>
      <c r="N49" s="512">
        <f>SUM(H49:M49)</f>
        <v>22</v>
      </c>
      <c r="O49" s="62">
        <v>12</v>
      </c>
      <c r="P49" s="62" t="s">
        <v>752</v>
      </c>
      <c r="Q49" s="20"/>
      <c r="R49" s="20"/>
      <c r="S49" s="20">
        <f>J49*O49</f>
        <v>108</v>
      </c>
      <c r="T49" s="20">
        <f>K49*O49</f>
        <v>156</v>
      </c>
      <c r="U49" s="20"/>
      <c r="V49" s="20"/>
      <c r="W49" s="518">
        <f t="shared" si="1"/>
        <v>264</v>
      </c>
    </row>
    <row r="50" spans="1:23">
      <c r="A50" s="67">
        <f>Tab2a!A48</f>
        <v>20</v>
      </c>
      <c r="B50" s="1239" t="str">
        <f>Tab2a!B48</f>
        <v>Ø 100 cm truubitoru (r/b) väljatõstmine ja utiliseerimine</v>
      </c>
      <c r="C50" s="1240"/>
      <c r="D50" s="1240"/>
      <c r="E50" s="1240"/>
      <c r="F50" s="1241"/>
      <c r="G50" s="62" t="str">
        <f>Tab2a!G48</f>
        <v>m</v>
      </c>
      <c r="H50" s="62"/>
      <c r="I50" s="62"/>
      <c r="J50" s="62"/>
      <c r="K50" s="62">
        <f>Tab2a!K48</f>
        <v>8</v>
      </c>
      <c r="L50" s="62"/>
      <c r="M50" s="62"/>
      <c r="N50" s="512">
        <f>SUM(H50:M50)</f>
        <v>8</v>
      </c>
      <c r="O50" s="62">
        <v>15.5</v>
      </c>
      <c r="P50" s="62" t="s">
        <v>821</v>
      </c>
      <c r="Q50" s="20"/>
      <c r="R50" s="20"/>
      <c r="S50" s="20"/>
      <c r="T50" s="20">
        <f>K50*O50</f>
        <v>124</v>
      </c>
      <c r="U50" s="20"/>
      <c r="V50" s="20"/>
      <c r="W50" s="518">
        <f t="shared" si="1"/>
        <v>124</v>
      </c>
    </row>
    <row r="51" spans="1:23">
      <c r="A51" s="67">
        <f>Tab2a!A49</f>
        <v>21</v>
      </c>
      <c r="B51" s="1329" t="str">
        <f>Tab2a!B49</f>
        <v>Truubi otsakute lammutamine ja utiliseerimine</v>
      </c>
      <c r="C51" s="1330"/>
      <c r="D51" s="1330"/>
      <c r="E51" s="1330"/>
      <c r="F51" s="1330"/>
      <c r="G51" s="62" t="str">
        <f>Tab2a!G49</f>
        <v>m3</v>
      </c>
      <c r="H51" s="62">
        <f>Tab2a!H49</f>
        <v>2</v>
      </c>
      <c r="I51" s="62"/>
      <c r="J51" s="62">
        <f>Tab2a!J49</f>
        <v>3.5</v>
      </c>
      <c r="K51" s="62">
        <f>Tab2a!K49</f>
        <v>6.5</v>
      </c>
      <c r="L51" s="62">
        <f>Tab2a!L49</f>
        <v>1</v>
      </c>
      <c r="M51" s="62">
        <f>Tab2a!M49</f>
        <v>1</v>
      </c>
      <c r="N51" s="512">
        <f>SUM(H51:M51)</f>
        <v>14</v>
      </c>
      <c r="O51" s="138">
        <v>4</v>
      </c>
      <c r="P51" s="138" t="s">
        <v>753</v>
      </c>
      <c r="Q51" s="139">
        <f>H51*O51</f>
        <v>8</v>
      </c>
      <c r="R51" s="139"/>
      <c r="S51" s="139">
        <f>J51*O51</f>
        <v>14</v>
      </c>
      <c r="T51" s="139">
        <f>K51*O51</f>
        <v>26</v>
      </c>
      <c r="U51" s="139">
        <f>L51*O51</f>
        <v>4</v>
      </c>
      <c r="V51" s="20">
        <f>M51*O51</f>
        <v>4</v>
      </c>
      <c r="W51" s="518">
        <f t="shared" si="1"/>
        <v>56</v>
      </c>
    </row>
    <row r="52" spans="1:23" ht="15.75" thickBot="1">
      <c r="A52" s="67">
        <f>Tab2a!A50</f>
        <v>22</v>
      </c>
      <c r="B52" s="1307" t="str">
        <f>Tab2a!B50</f>
        <v>Truubitorust sette likvideerimine 0,25 läbimõõtu</v>
      </c>
      <c r="C52" s="1308"/>
      <c r="D52" s="1308"/>
      <c r="E52" s="1308"/>
      <c r="F52" s="1308"/>
      <c r="G52" s="62" t="str">
        <f>Tab2a!G50</f>
        <v>m</v>
      </c>
      <c r="H52" s="62"/>
      <c r="I52" s="62"/>
      <c r="J52" s="62"/>
      <c r="K52" s="62"/>
      <c r="L52" s="62"/>
      <c r="M52" s="62"/>
      <c r="N52" s="512"/>
      <c r="O52" s="62">
        <v>10</v>
      </c>
      <c r="P52" s="62" t="s">
        <v>881</v>
      </c>
      <c r="Q52" s="20"/>
      <c r="R52" s="20"/>
      <c r="S52" s="20"/>
      <c r="T52" s="139"/>
      <c r="U52" s="139"/>
      <c r="V52" s="139"/>
      <c r="W52" s="785"/>
    </row>
    <row r="53" spans="1:23" ht="15.75" thickBot="1">
      <c r="A53" s="515"/>
      <c r="B53" s="1670" t="s">
        <v>161</v>
      </c>
      <c r="C53" s="1671"/>
      <c r="D53" s="1671"/>
      <c r="E53" s="1671"/>
      <c r="F53" s="1671"/>
      <c r="G53" s="1671"/>
      <c r="H53" s="1671"/>
      <c r="I53" s="1671"/>
      <c r="J53" s="1671"/>
      <c r="K53" s="1671"/>
      <c r="L53" s="1671"/>
      <c r="M53" s="1671"/>
      <c r="N53" s="1671"/>
      <c r="O53" s="1671"/>
      <c r="P53" s="1671"/>
      <c r="Q53" s="1671"/>
      <c r="R53" s="1671"/>
      <c r="S53" s="1671"/>
      <c r="T53" s="786"/>
      <c r="U53" s="277"/>
      <c r="V53" s="277"/>
      <c r="W53" s="184">
        <f>SUM(W32:W52)</f>
        <v>38432.160000000003</v>
      </c>
    </row>
    <row r="54" spans="1:23" ht="15.75" thickBot="1">
      <c r="A54" s="67">
        <f>Tab2a!A56</f>
        <v>1</v>
      </c>
      <c r="B54" s="1654" t="s">
        <v>88</v>
      </c>
      <c r="C54" s="1655"/>
      <c r="D54" s="1655"/>
      <c r="E54" s="1655"/>
      <c r="F54" s="1655"/>
      <c r="G54" s="1655"/>
      <c r="H54" s="1655"/>
      <c r="I54" s="1655"/>
      <c r="J54" s="1655"/>
      <c r="K54" s="1655"/>
      <c r="L54" s="1655"/>
      <c r="M54" s="1655"/>
      <c r="N54" s="1655"/>
      <c r="O54" s="1655"/>
      <c r="P54" s="1655"/>
      <c r="Q54" s="1655"/>
      <c r="R54" s="1655"/>
      <c r="S54" s="1655"/>
      <c r="T54" s="1655"/>
      <c r="U54" s="1655"/>
      <c r="V54" s="1655"/>
      <c r="W54" s="1656"/>
    </row>
    <row r="55" spans="1:23">
      <c r="A55" s="1042">
        <f>Tab2a!A57</f>
        <v>2</v>
      </c>
      <c r="B55" s="1657" t="str">
        <f>Tab2a!B57</f>
        <v>Settebasseini mahamärkimine</v>
      </c>
      <c r="C55" s="1658"/>
      <c r="D55" s="1658"/>
      <c r="E55" s="1658"/>
      <c r="F55" s="1659"/>
      <c r="G55" s="111" t="str">
        <f>Tab2a!G57</f>
        <v>tk</v>
      </c>
      <c r="H55" s="111">
        <f>Tab2a!H57</f>
        <v>1</v>
      </c>
      <c r="I55" s="111"/>
      <c r="J55" s="111">
        <f>Tab2a!J57</f>
        <v>2</v>
      </c>
      <c r="K55" s="525"/>
      <c r="L55" s="525"/>
      <c r="M55" s="525"/>
      <c r="N55" s="526">
        <f>SUM(H55:M55)</f>
        <v>3</v>
      </c>
      <c r="O55" s="61">
        <v>23.78</v>
      </c>
      <c r="P55" s="61" t="s">
        <v>404</v>
      </c>
      <c r="Q55" s="33">
        <f>H55*O55</f>
        <v>23.78</v>
      </c>
      <c r="R55" s="33"/>
      <c r="S55" s="33">
        <f>J55*O55</f>
        <v>47.56</v>
      </c>
      <c r="T55" s="33"/>
      <c r="U55" s="33"/>
      <c r="V55" s="33"/>
      <c r="W55" s="1769">
        <f>SUM(Q55:V55)</f>
        <v>71.34</v>
      </c>
    </row>
    <row r="56" spans="1:23">
      <c r="A56" s="1042">
        <f>Tab2a!A58</f>
        <v>3</v>
      </c>
      <c r="B56" s="1660" t="str">
        <f>Tab2a!B58</f>
        <v>Settebasseini kaevamine, I-II gr. Pinnas</v>
      </c>
      <c r="C56" s="1661"/>
      <c r="D56" s="1661"/>
      <c r="E56" s="1661"/>
      <c r="F56" s="1662"/>
      <c r="G56" s="193" t="str">
        <f>Tab2a!G58</f>
        <v>m3</v>
      </c>
      <c r="H56" s="193">
        <f>Tab2a!H58</f>
        <v>950</v>
      </c>
      <c r="I56" s="193"/>
      <c r="J56" s="193">
        <f>Tab2a!J58</f>
        <v>984</v>
      </c>
      <c r="K56" s="233"/>
      <c r="L56" s="233"/>
      <c r="M56" s="233"/>
      <c r="N56" s="194">
        <f>SUM(H56:M56)</f>
        <v>1934</v>
      </c>
      <c r="O56" s="62">
        <v>0.52</v>
      </c>
      <c r="P56" s="62" t="s">
        <v>402</v>
      </c>
      <c r="Q56" s="20">
        <f>H56*O56</f>
        <v>494</v>
      </c>
      <c r="R56" s="20"/>
      <c r="S56" s="20">
        <f>J56*O56</f>
        <v>511.68</v>
      </c>
      <c r="T56" s="148"/>
      <c r="U56" s="148"/>
      <c r="V56" s="148"/>
      <c r="W56" s="69">
        <f t="shared" ref="W56:W70" si="2">SUM(Q56:V56)</f>
        <v>1005.6800000000001</v>
      </c>
    </row>
    <row r="57" spans="1:23">
      <c r="A57" s="1042">
        <f>Tab2a!A59</f>
        <v>4</v>
      </c>
      <c r="B57" s="1660" t="str">
        <f>Tab2a!B59</f>
        <v>Kaeve laialiajamine (60% kaevest)</v>
      </c>
      <c r="C57" s="1661"/>
      <c r="D57" s="1661"/>
      <c r="E57" s="1661"/>
      <c r="F57" s="1662"/>
      <c r="G57" s="193" t="str">
        <f>Tab2a!G59</f>
        <v>m3</v>
      </c>
      <c r="H57" s="1064">
        <f>Tab2a!H59</f>
        <v>570</v>
      </c>
      <c r="I57" s="1064"/>
      <c r="J57" s="1064">
        <f>Tab2a!J59</f>
        <v>590.4</v>
      </c>
      <c r="K57" s="233"/>
      <c r="L57" s="233"/>
      <c r="M57" s="233"/>
      <c r="N57" s="194">
        <f>SUM(H57:M57)</f>
        <v>1160.4000000000001</v>
      </c>
      <c r="O57" s="62">
        <v>0.18</v>
      </c>
      <c r="P57" s="62" t="s">
        <v>409</v>
      </c>
      <c r="Q57" s="20">
        <f>H57*O57</f>
        <v>102.6</v>
      </c>
      <c r="R57" s="20"/>
      <c r="S57" s="20">
        <f>J57*O57</f>
        <v>106.27199999999999</v>
      </c>
      <c r="T57" s="148"/>
      <c r="U57" s="148"/>
      <c r="V57" s="148"/>
      <c r="W57" s="69">
        <f t="shared" si="2"/>
        <v>208.87199999999999</v>
      </c>
    </row>
    <row r="58" spans="1:23" ht="30" customHeight="1">
      <c r="A58" s="1042">
        <f>Tab2a!A60</f>
        <v>5</v>
      </c>
      <c r="B58" s="1660" t="str">
        <f>Tab2a!B60</f>
        <v>Sette eemaldamine settebasseinist pärast kraavide valmimist, 2 korda</v>
      </c>
      <c r="C58" s="1661"/>
      <c r="D58" s="1661"/>
      <c r="E58" s="1661"/>
      <c r="F58" s="1662"/>
      <c r="G58" s="193" t="str">
        <f>Tab2a!G60</f>
        <v>m3</v>
      </c>
      <c r="H58" s="1064">
        <f>Tab2a!H60</f>
        <v>272</v>
      </c>
      <c r="I58" s="1064"/>
      <c r="J58" s="1064">
        <f>Tab2a!J60</f>
        <v>264</v>
      </c>
      <c r="K58" s="75"/>
      <c r="L58" s="75"/>
      <c r="M58" s="75"/>
      <c r="N58" s="194">
        <f>SUM(H58:M58)</f>
        <v>536</v>
      </c>
      <c r="O58" s="62">
        <f>1169/1000</f>
        <v>1.169</v>
      </c>
      <c r="P58" s="62" t="s">
        <v>754</v>
      </c>
      <c r="Q58" s="20">
        <f>H58*O58</f>
        <v>317.96800000000002</v>
      </c>
      <c r="R58" s="20"/>
      <c r="S58" s="20">
        <f>J58*O58</f>
        <v>308.61599999999999</v>
      </c>
      <c r="T58" s="20"/>
      <c r="U58" s="20"/>
      <c r="V58" s="20"/>
      <c r="W58" s="69">
        <f t="shared" si="2"/>
        <v>626.58400000000006</v>
      </c>
    </row>
    <row r="59" spans="1:23" ht="30" customHeight="1">
      <c r="A59" s="1042">
        <f>Tab2a!A61</f>
        <v>6</v>
      </c>
      <c r="B59" s="1668" t="str">
        <f>Tab2a!B61</f>
        <v>Geotekstiilil (NGS2) kiviprisma ehitamine settebasseini</v>
      </c>
      <c r="C59" s="1669"/>
      <c r="D59" s="1669"/>
      <c r="E59" s="1669"/>
      <c r="F59" s="1669"/>
      <c r="G59" s="75" t="str">
        <f>Tab2a!G61</f>
        <v>tk</v>
      </c>
      <c r="H59" s="75">
        <f>Tab2a!H61</f>
        <v>1</v>
      </c>
      <c r="I59" s="75"/>
      <c r="J59" s="75">
        <f>Tab2a!J61</f>
        <v>2</v>
      </c>
      <c r="K59" s="179"/>
      <c r="L59" s="179"/>
      <c r="M59" s="179"/>
      <c r="N59" s="295">
        <f>SUM(H59:M59)</f>
        <v>3</v>
      </c>
      <c r="O59" s="1080">
        <v>172</v>
      </c>
      <c r="P59" s="1080" t="s">
        <v>401</v>
      </c>
      <c r="Q59" s="139">
        <f>H59*O59</f>
        <v>172</v>
      </c>
      <c r="R59" s="139"/>
      <c r="S59" s="139">
        <f>J59*O59</f>
        <v>344</v>
      </c>
      <c r="T59" s="139"/>
      <c r="U59" s="139"/>
      <c r="V59" s="139"/>
      <c r="W59" s="69">
        <f t="shared" si="2"/>
        <v>516</v>
      </c>
    </row>
    <row r="60" spans="1:23">
      <c r="A60" s="1042">
        <f>Tab2a!A62</f>
        <v>7</v>
      </c>
      <c r="B60" s="1668" t="str">
        <f>Tab2a!B62</f>
        <v>sh geotekstiil NGS2</v>
      </c>
      <c r="C60" s="1669"/>
      <c r="D60" s="1669"/>
      <c r="E60" s="1669"/>
      <c r="F60" s="1669"/>
      <c r="G60" s="75" t="str">
        <f>Tab2a!G62</f>
        <v>m2</v>
      </c>
      <c r="H60" s="75">
        <f>Tab2a!H62</f>
        <v>10</v>
      </c>
      <c r="I60" s="75"/>
      <c r="J60" s="75">
        <f>Tab2a!J62</f>
        <v>20</v>
      </c>
      <c r="K60" s="179"/>
      <c r="L60" s="179"/>
      <c r="M60" s="179"/>
      <c r="N60" s="295">
        <f>SUM(H60:M60)</f>
        <v>30</v>
      </c>
      <c r="O60" s="1080">
        <v>1</v>
      </c>
      <c r="P60" s="1080" t="s">
        <v>401</v>
      </c>
      <c r="Q60" s="139">
        <f>H60*O60</f>
        <v>10</v>
      </c>
      <c r="R60" s="139"/>
      <c r="S60" s="139">
        <f>J60*O60</f>
        <v>20</v>
      </c>
      <c r="T60" s="139"/>
      <c r="U60" s="139"/>
      <c r="V60" s="771"/>
      <c r="W60" s="69">
        <f t="shared" si="2"/>
        <v>30</v>
      </c>
    </row>
    <row r="61" spans="1:23">
      <c r="A61" s="1042">
        <f>Tab2a!A63</f>
        <v>8</v>
      </c>
      <c r="B61" s="1668" t="str">
        <f>Tab2a!B63</f>
        <v>sh kivi Ø 15-30 cm</v>
      </c>
      <c r="C61" s="1669"/>
      <c r="D61" s="1669"/>
      <c r="E61" s="1669"/>
      <c r="F61" s="1669"/>
      <c r="G61" s="75" t="str">
        <f>Tab2a!G63</f>
        <v>m3</v>
      </c>
      <c r="H61" s="75">
        <f>Tab2a!H63</f>
        <v>5</v>
      </c>
      <c r="I61" s="75"/>
      <c r="J61" s="75">
        <f>Tab2a!J63</f>
        <v>10</v>
      </c>
      <c r="K61" s="179"/>
      <c r="L61" s="179"/>
      <c r="M61" s="179"/>
      <c r="N61" s="295">
        <f>SUM(H61:M61)</f>
        <v>15</v>
      </c>
      <c r="O61" s="1080">
        <v>10</v>
      </c>
      <c r="P61" s="1080" t="s">
        <v>401</v>
      </c>
      <c r="Q61" s="139">
        <f>H61*O61</f>
        <v>50</v>
      </c>
      <c r="R61" s="139"/>
      <c r="S61" s="139">
        <f>J61*O61</f>
        <v>100</v>
      </c>
      <c r="T61" s="139"/>
      <c r="U61" s="139"/>
      <c r="V61" s="771"/>
      <c r="W61" s="69">
        <f t="shared" si="2"/>
        <v>150</v>
      </c>
    </row>
    <row r="62" spans="1:23" ht="15" customHeight="1">
      <c r="A62" s="1042">
        <f>Tab2a!A64</f>
        <v>9</v>
      </c>
      <c r="B62" s="1227" t="s">
        <v>57</v>
      </c>
      <c r="C62" s="1228"/>
      <c r="D62" s="1228"/>
      <c r="E62" s="1228"/>
      <c r="F62" s="1228"/>
      <c r="G62" s="75" t="s">
        <v>17</v>
      </c>
      <c r="H62" s="78">
        <f>Tab2a!H64</f>
        <v>0.17832480000000001</v>
      </c>
      <c r="I62" s="78"/>
      <c r="J62" s="78">
        <f>Tab2a!J65</f>
        <v>0.18197860000000002</v>
      </c>
      <c r="K62" s="75"/>
      <c r="L62" s="75"/>
      <c r="M62" s="75"/>
      <c r="N62" s="296">
        <f t="shared" ref="N62:N70" si="3">SUM(H62:M62)</f>
        <v>0.36030340000000005</v>
      </c>
      <c r="O62" s="20">
        <v>1109</v>
      </c>
      <c r="P62" s="62" t="s">
        <v>511</v>
      </c>
      <c r="Q62" s="20">
        <f>H62*O62</f>
        <v>197.76220320000002</v>
      </c>
      <c r="R62" s="20"/>
      <c r="S62" s="20">
        <f>O62*J62</f>
        <v>201.81426740000003</v>
      </c>
      <c r="T62" s="20"/>
      <c r="U62" s="20"/>
      <c r="V62" s="28"/>
      <c r="W62" s="69">
        <f t="shared" si="2"/>
        <v>399.57647060000005</v>
      </c>
    </row>
    <row r="63" spans="1:23" ht="15" customHeight="1">
      <c r="A63" s="1042">
        <f>Tab2a!A65</f>
        <v>10</v>
      </c>
      <c r="B63" s="1652" t="s">
        <v>217</v>
      </c>
      <c r="C63" s="1653"/>
      <c r="D63" s="1653"/>
      <c r="E63" s="1653"/>
      <c r="F63" s="1653"/>
      <c r="G63" s="179" t="s">
        <v>17</v>
      </c>
      <c r="H63" s="455">
        <f>H62</f>
        <v>0.17832480000000001</v>
      </c>
      <c r="I63" s="455"/>
      <c r="J63" s="455">
        <f>J62</f>
        <v>0.18197860000000002</v>
      </c>
      <c r="K63" s="179"/>
      <c r="L63" s="179"/>
      <c r="M63" s="179"/>
      <c r="N63" s="296">
        <f t="shared" si="3"/>
        <v>0.36030340000000005</v>
      </c>
      <c r="O63" s="1080">
        <v>377.4</v>
      </c>
      <c r="P63" s="1080" t="s">
        <v>802</v>
      </c>
      <c r="Q63" s="139">
        <f>H63*O63</f>
        <v>67.299779520000001</v>
      </c>
      <c r="R63" s="139"/>
      <c r="S63" s="139">
        <f>O63*J63</f>
        <v>68.678723640000001</v>
      </c>
      <c r="T63" s="139"/>
      <c r="U63" s="139"/>
      <c r="V63" s="771"/>
      <c r="W63" s="69">
        <f t="shared" si="2"/>
        <v>135.97850316</v>
      </c>
    </row>
    <row r="64" spans="1:23" ht="15" customHeight="1">
      <c r="A64" s="1042">
        <f>Tab2a!A66</f>
        <v>11</v>
      </c>
      <c r="B64" s="1101" t="str">
        <f>Tab2a!B66</f>
        <v>Kraavilaiend (KL), süvend kraavi põhjas 0,5 m, põhja laius 1,0 m, ühe kalda nõlvus 1:3, pikkus 10 m</v>
      </c>
      <c r="C64" s="1100"/>
      <c r="D64" s="1100"/>
      <c r="E64" s="1100"/>
      <c r="F64" s="1100"/>
      <c r="G64" s="1100"/>
      <c r="H64" s="1100"/>
      <c r="I64" s="1100"/>
      <c r="J64" s="78"/>
      <c r="K64" s="75"/>
      <c r="L64" s="75"/>
      <c r="M64" s="75"/>
      <c r="N64" s="295"/>
      <c r="O64" s="62"/>
      <c r="P64" s="62"/>
      <c r="Q64" s="20"/>
      <c r="R64" s="20"/>
      <c r="S64" s="20"/>
      <c r="T64" s="20"/>
      <c r="U64" s="20"/>
      <c r="V64" s="20"/>
      <c r="W64" s="69"/>
    </row>
    <row r="65" spans="1:23" ht="15" customHeight="1">
      <c r="A65" s="1042">
        <f>Tab2a!A67</f>
        <v>12</v>
      </c>
      <c r="B65" s="1672" t="str">
        <f>Tab2a!B67</f>
        <v>Kraavilaiendi mahamärkimine</v>
      </c>
      <c r="C65" s="1673"/>
      <c r="D65" s="1673"/>
      <c r="E65" s="1673"/>
      <c r="F65" s="1673"/>
      <c r="G65" s="75" t="str">
        <f>Tab2a!G67</f>
        <v>tk</v>
      </c>
      <c r="H65" s="1065">
        <f>Tab2a!H67</f>
        <v>1</v>
      </c>
      <c r="I65" s="78"/>
      <c r="J65" s="1065">
        <f>Tab2a!J67</f>
        <v>2</v>
      </c>
      <c r="K65" s="75"/>
      <c r="L65" s="75"/>
      <c r="M65" s="75"/>
      <c r="N65" s="295">
        <f t="shared" si="3"/>
        <v>3</v>
      </c>
      <c r="O65" s="147">
        <v>23.78</v>
      </c>
      <c r="P65" s="147" t="s">
        <v>404</v>
      </c>
      <c r="Q65" s="139">
        <f>H65*O65</f>
        <v>23.78</v>
      </c>
      <c r="R65" s="20"/>
      <c r="S65" s="139">
        <f>O65*J65</f>
        <v>47.56</v>
      </c>
      <c r="T65" s="20"/>
      <c r="U65" s="20"/>
      <c r="V65" s="20"/>
      <c r="W65" s="69">
        <f t="shared" si="2"/>
        <v>71.34</v>
      </c>
    </row>
    <row r="66" spans="1:23" ht="15" customHeight="1">
      <c r="A66" s="1042">
        <f>Tab2a!A68</f>
        <v>13</v>
      </c>
      <c r="B66" s="1646" t="str">
        <f>Tab2a!B68</f>
        <v>Kaevamine III gr pinnas</v>
      </c>
      <c r="C66" s="1647"/>
      <c r="D66" s="1647"/>
      <c r="E66" s="1647"/>
      <c r="F66" s="1647"/>
      <c r="G66" s="75" t="str">
        <f>Tab2a!G68</f>
        <v>m³</v>
      </c>
      <c r="H66" s="1065">
        <f>Tab2a!H68</f>
        <v>32.5</v>
      </c>
      <c r="I66" s="78"/>
      <c r="J66" s="1065">
        <f>Tab2a!J68</f>
        <v>65</v>
      </c>
      <c r="K66" s="75"/>
      <c r="L66" s="75"/>
      <c r="M66" s="75"/>
      <c r="N66" s="295">
        <f t="shared" si="3"/>
        <v>97.5</v>
      </c>
      <c r="O66" s="62">
        <v>0.82</v>
      </c>
      <c r="P66" s="62" t="s">
        <v>900</v>
      </c>
      <c r="Q66" s="139">
        <f>H66*O66</f>
        <v>26.65</v>
      </c>
      <c r="R66" s="20"/>
      <c r="S66" s="139">
        <f>O66*J66</f>
        <v>53.3</v>
      </c>
      <c r="T66" s="20"/>
      <c r="U66" s="20"/>
      <c r="V66" s="20"/>
      <c r="W66" s="69">
        <f t="shared" si="2"/>
        <v>79.949999999999989</v>
      </c>
    </row>
    <row r="67" spans="1:23" ht="15" customHeight="1">
      <c r="A67" s="1042">
        <f>Tab2a!A69</f>
        <v>14</v>
      </c>
      <c r="B67" s="1646" t="str">
        <f>Tab2a!B69</f>
        <v>Puistepinnase laialiajamine buldooseriga, lükkekaugus kuni 40 m</v>
      </c>
      <c r="C67" s="1647"/>
      <c r="D67" s="1647"/>
      <c r="E67" s="1647"/>
      <c r="F67" s="1647"/>
      <c r="G67" s="75" t="str">
        <f>Tab2a!G69</f>
        <v>m³</v>
      </c>
      <c r="H67" s="1065">
        <f>Tab2a!H69</f>
        <v>19.5</v>
      </c>
      <c r="I67" s="78"/>
      <c r="J67" s="1065">
        <f>Tab2a!J69</f>
        <v>39</v>
      </c>
      <c r="K67" s="75"/>
      <c r="L67" s="75"/>
      <c r="M67" s="75"/>
      <c r="N67" s="295">
        <f t="shared" si="3"/>
        <v>58.5</v>
      </c>
      <c r="O67" s="62">
        <v>0.18</v>
      </c>
      <c r="P67" s="62" t="s">
        <v>409</v>
      </c>
      <c r="Q67" s="139">
        <f>H67*O67</f>
        <v>3.51</v>
      </c>
      <c r="R67" s="20"/>
      <c r="S67" s="139">
        <f>O67*J67</f>
        <v>7.02</v>
      </c>
      <c r="T67" s="20"/>
      <c r="U67" s="20"/>
      <c r="V67" s="20"/>
      <c r="W67" s="69">
        <f t="shared" si="2"/>
        <v>10.53</v>
      </c>
    </row>
    <row r="68" spans="1:23" ht="15" customHeight="1">
      <c r="A68" s="1042">
        <f>Tab2a!A70</f>
        <v>15</v>
      </c>
      <c r="B68" s="1646" t="str">
        <f>Tab2a!B70</f>
        <v>Kraavilaiendi puhastamine settest tööde käigus</v>
      </c>
      <c r="C68" s="1647"/>
      <c r="D68" s="1647"/>
      <c r="E68" s="1647"/>
      <c r="F68" s="1647"/>
      <c r="G68" s="75" t="str">
        <f>Tab2a!G70</f>
        <v>m³</v>
      </c>
      <c r="H68" s="1065">
        <f>Tab2a!H70</f>
        <v>8</v>
      </c>
      <c r="I68" s="78"/>
      <c r="J68" s="1065">
        <f>Tab2a!J70</f>
        <v>16</v>
      </c>
      <c r="K68" s="75"/>
      <c r="L68" s="75"/>
      <c r="M68" s="75"/>
      <c r="N68" s="295">
        <f t="shared" si="3"/>
        <v>24</v>
      </c>
      <c r="O68" s="62">
        <v>0.52</v>
      </c>
      <c r="P68" s="62" t="s">
        <v>402</v>
      </c>
      <c r="Q68" s="139">
        <f>H68*O68</f>
        <v>4.16</v>
      </c>
      <c r="R68" s="20"/>
      <c r="S68" s="139">
        <f>O68*J68</f>
        <v>8.32</v>
      </c>
      <c r="T68" s="20"/>
      <c r="U68" s="20"/>
      <c r="V68" s="20"/>
      <c r="W68" s="69">
        <f t="shared" si="2"/>
        <v>12.48</v>
      </c>
    </row>
    <row r="69" spans="1:23" ht="15" customHeight="1">
      <c r="A69" s="1042">
        <f>Tab2a!A71</f>
        <v>16</v>
      </c>
      <c r="B69" s="1646" t="str">
        <f>Tab2a!B71</f>
        <v>Puittaimestiku likvideerimine</v>
      </c>
      <c r="C69" s="1647"/>
      <c r="D69" s="1647"/>
      <c r="E69" s="1647"/>
      <c r="F69" s="1647"/>
      <c r="G69" s="75" t="str">
        <f>Tab2a!G71</f>
        <v xml:space="preserve">ha </v>
      </c>
      <c r="H69" s="78">
        <f>Tab2a!H71</f>
        <v>7.7999999999999996E-3</v>
      </c>
      <c r="I69" s="78"/>
      <c r="J69" s="78">
        <f>Tab2a!J71</f>
        <v>1.5599999999999999E-2</v>
      </c>
      <c r="K69" s="75"/>
      <c r="L69" s="75"/>
      <c r="M69" s="75"/>
      <c r="N69" s="296">
        <f t="shared" si="3"/>
        <v>2.3399999999999997E-2</v>
      </c>
      <c r="O69" s="20">
        <v>1109</v>
      </c>
      <c r="P69" s="62" t="s">
        <v>511</v>
      </c>
      <c r="Q69" s="139">
        <f>H69*O69</f>
        <v>8.6501999999999999</v>
      </c>
      <c r="R69" s="20"/>
      <c r="S69" s="139">
        <f>O69*J69</f>
        <v>17.3004</v>
      </c>
      <c r="T69" s="20"/>
      <c r="U69" s="20"/>
      <c r="V69" s="20"/>
      <c r="W69" s="69">
        <f t="shared" si="2"/>
        <v>25.950600000000001</v>
      </c>
    </row>
    <row r="70" spans="1:23" ht="15" customHeight="1" thickBot="1">
      <c r="A70" s="1042">
        <f>Tab2a!A72</f>
        <v>17</v>
      </c>
      <c r="B70" s="1648" t="str">
        <f>Tab2a!B72</f>
        <v>Kändude juurimine</v>
      </c>
      <c r="C70" s="1649"/>
      <c r="D70" s="1649"/>
      <c r="E70" s="1649"/>
      <c r="F70" s="1649"/>
      <c r="G70" s="112" t="str">
        <f>Tab2a!G72</f>
        <v xml:space="preserve">ha </v>
      </c>
      <c r="H70" s="1091">
        <f>Tab2a!H72</f>
        <v>7.7999999999999996E-3</v>
      </c>
      <c r="I70" s="1091"/>
      <c r="J70" s="1091">
        <f>Tab2a!J72</f>
        <v>1.5599999999999999E-2</v>
      </c>
      <c r="K70" s="112"/>
      <c r="L70" s="112"/>
      <c r="M70" s="112"/>
      <c r="N70" s="296">
        <f t="shared" si="3"/>
        <v>2.3399999999999997E-2</v>
      </c>
      <c r="O70" s="65">
        <v>377.4</v>
      </c>
      <c r="P70" s="65" t="s">
        <v>802</v>
      </c>
      <c r="Q70" s="29">
        <f>H70*O70</f>
        <v>2.9437199999999999</v>
      </c>
      <c r="R70" s="29"/>
      <c r="S70" s="29">
        <f>O70*J70</f>
        <v>5.8874399999999998</v>
      </c>
      <c r="T70" s="29"/>
      <c r="U70" s="29"/>
      <c r="V70" s="29"/>
      <c r="W70" s="518">
        <f t="shared" si="2"/>
        <v>8.8311600000000006</v>
      </c>
    </row>
    <row r="71" spans="1:23" ht="15.75" thickBot="1">
      <c r="A71" s="1097"/>
      <c r="B71" s="1670" t="s">
        <v>161</v>
      </c>
      <c r="C71" s="1671"/>
      <c r="D71" s="1671"/>
      <c r="E71" s="1671"/>
      <c r="F71" s="1671"/>
      <c r="G71" s="1671"/>
      <c r="H71" s="1671"/>
      <c r="I71" s="1671"/>
      <c r="J71" s="1671"/>
      <c r="K71" s="1671"/>
      <c r="L71" s="1671"/>
      <c r="M71" s="1671"/>
      <c r="N71" s="1671"/>
      <c r="O71" s="1671"/>
      <c r="P71" s="1671"/>
      <c r="Q71" s="1671"/>
      <c r="R71" s="1671"/>
      <c r="S71" s="1671"/>
      <c r="T71" s="1098"/>
      <c r="U71" s="1099"/>
      <c r="V71" s="1102"/>
      <c r="W71" s="184">
        <f>SUM(W55:W70)</f>
        <v>3353.1127337600005</v>
      </c>
    </row>
    <row r="72" spans="1:23" ht="15.75" thickBot="1">
      <c r="A72" s="71">
        <f>Tab2a!A73</f>
        <v>1</v>
      </c>
      <c r="B72" s="1665" t="s">
        <v>97</v>
      </c>
      <c r="C72" s="1666"/>
      <c r="D72" s="1666"/>
      <c r="E72" s="1666"/>
      <c r="F72" s="1666"/>
      <c r="G72" s="1666"/>
      <c r="H72" s="1666"/>
      <c r="I72" s="1666"/>
      <c r="J72" s="1666"/>
      <c r="K72" s="1666"/>
      <c r="L72" s="1666"/>
      <c r="M72" s="1666"/>
      <c r="N72" s="1666"/>
      <c r="O72" s="1666"/>
      <c r="P72" s="1666"/>
      <c r="Q72" s="1666"/>
      <c r="R72" s="1666"/>
      <c r="S72" s="1666"/>
      <c r="T72" s="1666"/>
      <c r="U72" s="1666"/>
      <c r="V72" s="1666"/>
      <c r="W72" s="1667"/>
    </row>
    <row r="73" spans="1:23" s="146" customFormat="1" ht="30" customHeight="1">
      <c r="A73" s="60">
        <f>Tab2a!A74</f>
        <v>2</v>
      </c>
      <c r="B73" s="1689" t="str">
        <f>Tab2a!B74</f>
        <v>Kraavide nõlvade kindlustamine erosioonitõkkematiga (dzuudikiust võrguga)</v>
      </c>
      <c r="C73" s="1690"/>
      <c r="D73" s="1690"/>
      <c r="E73" s="1690"/>
      <c r="F73" s="1691"/>
      <c r="G73" s="852" t="s">
        <v>228</v>
      </c>
      <c r="H73" s="1000">
        <f>Tab2a!H74</f>
        <v>454.6</v>
      </c>
      <c r="I73" s="1000">
        <f>Tab2a!I74</f>
        <v>44</v>
      </c>
      <c r="J73" s="1000">
        <f>Tab2a!J74</f>
        <v>1119.7</v>
      </c>
      <c r="K73" s="1000">
        <f>Tab2a!K74</f>
        <v>997.2</v>
      </c>
      <c r="L73" s="1000">
        <f>Tab2a!L74</f>
        <v>94.2</v>
      </c>
      <c r="M73" s="1000">
        <f>Tab2a!M74</f>
        <v>60.4</v>
      </c>
      <c r="N73" s="1001">
        <f>SUM(H73:M73)</f>
        <v>2770.1</v>
      </c>
      <c r="O73" s="61">
        <v>5.0999999999999996</v>
      </c>
      <c r="P73" s="61" t="s">
        <v>755</v>
      </c>
      <c r="Q73" s="33">
        <f>H73*O73</f>
        <v>2318.46</v>
      </c>
      <c r="R73" s="33">
        <f>I73*O73</f>
        <v>224.39999999999998</v>
      </c>
      <c r="S73" s="33">
        <f>J73*O73</f>
        <v>5710.47</v>
      </c>
      <c r="T73" s="33">
        <f>K73*O73</f>
        <v>5085.72</v>
      </c>
      <c r="U73" s="33">
        <f>L73*O73</f>
        <v>480.41999999999996</v>
      </c>
      <c r="V73" s="33">
        <f>M73*O73</f>
        <v>308.03999999999996</v>
      </c>
      <c r="W73" s="517">
        <f>SUM(Q73:V73)</f>
        <v>14127.509999999998</v>
      </c>
    </row>
    <row r="74" spans="1:23" ht="15" customHeight="1">
      <c r="A74" s="67">
        <f>Tab2a!A75</f>
        <v>3</v>
      </c>
      <c r="B74" s="1692" t="str">
        <f>Tab2a!B75</f>
        <v>Nõuetekohase teostusmõõdistuse koostamine</v>
      </c>
      <c r="C74" s="1693"/>
      <c r="D74" s="1693"/>
      <c r="E74" s="1693"/>
      <c r="F74" s="1694"/>
      <c r="G74" s="619" t="s">
        <v>99</v>
      </c>
      <c r="H74" s="1003">
        <f>Tab2a!H75</f>
        <v>1</v>
      </c>
      <c r="I74" s="1003"/>
      <c r="J74" s="1003"/>
      <c r="K74" s="1003">
        <f>Tab2a!K75</f>
        <v>2</v>
      </c>
      <c r="L74" s="1003">
        <f>Tab2a!L75</f>
        <v>1</v>
      </c>
      <c r="M74" s="1003">
        <f>Tab2a!M75</f>
        <v>1</v>
      </c>
      <c r="N74" s="512">
        <f t="shared" ref="N74:N76" si="4">SUM(H74:M74)</f>
        <v>5</v>
      </c>
      <c r="O74" s="138">
        <v>1000</v>
      </c>
      <c r="P74" s="138" t="s">
        <v>401</v>
      </c>
      <c r="Q74" s="1592">
        <f>N74*O74</f>
        <v>5000</v>
      </c>
      <c r="R74" s="1592"/>
      <c r="S74" s="1592"/>
      <c r="T74" s="1592"/>
      <c r="U74" s="1592"/>
      <c r="V74" s="1592"/>
      <c r="W74" s="359">
        <f>SUM(Q74:V74)</f>
        <v>5000</v>
      </c>
    </row>
    <row r="75" spans="1:23" ht="45" customHeight="1">
      <c r="A75" s="67">
        <f>Tab2a!A76</f>
        <v>4</v>
      </c>
      <c r="B75" s="1692" t="str">
        <f>Tab2a!B76</f>
        <v>Ehitustöödele ette jäävate piirimärkide ümber tõstmine vastavalt maakorralduse nõuetele ning sellega seotud dokumentatsiooni vormistamine</v>
      </c>
      <c r="C75" s="1693"/>
      <c r="D75" s="1693"/>
      <c r="E75" s="1693"/>
      <c r="F75" s="1693"/>
      <c r="G75" s="854" t="str">
        <f>Tab2a!G76</f>
        <v>töö</v>
      </c>
      <c r="H75" s="1003"/>
      <c r="I75" s="1003"/>
      <c r="J75" s="1003"/>
      <c r="K75" s="1003">
        <f>Tab2a!K76</f>
        <v>1</v>
      </c>
      <c r="L75" s="1003"/>
      <c r="M75" s="1003"/>
      <c r="N75" s="512">
        <f t="shared" si="4"/>
        <v>1</v>
      </c>
      <c r="O75" s="62">
        <v>400</v>
      </c>
      <c r="P75" s="62" t="s">
        <v>401</v>
      </c>
      <c r="Q75" s="62"/>
      <c r="R75" s="62"/>
      <c r="S75" s="62"/>
      <c r="T75" s="20">
        <f>K75*O75</f>
        <v>400</v>
      </c>
      <c r="U75" s="62"/>
      <c r="V75" s="62"/>
      <c r="W75" s="69">
        <f>SUM(Q75:V75)</f>
        <v>400</v>
      </c>
    </row>
    <row r="76" spans="1:23" ht="30.6" customHeight="1" thickBot="1">
      <c r="A76" s="67">
        <f>Tab2a!A77</f>
        <v>5</v>
      </c>
      <c r="B76" s="1692" t="str">
        <f>Tab2a!B77</f>
        <v>Ol.olevate piirimärkide säilitamine ja ehituse käigus lõhutud piirimärkide taastamine</v>
      </c>
      <c r="C76" s="1693"/>
      <c r="D76" s="1693"/>
      <c r="E76" s="1693"/>
      <c r="F76" s="1694"/>
      <c r="G76" s="854" t="str">
        <f>Tab2a!G77</f>
        <v>tk</v>
      </c>
      <c r="H76" s="1002"/>
      <c r="I76" s="1002"/>
      <c r="J76" s="1002"/>
      <c r="K76" s="1002">
        <f>Tab2a!K77</f>
        <v>2</v>
      </c>
      <c r="L76" s="1002"/>
      <c r="M76" s="1002"/>
      <c r="N76" s="191">
        <f t="shared" si="4"/>
        <v>2</v>
      </c>
      <c r="O76" s="62">
        <v>100</v>
      </c>
      <c r="P76" s="62" t="s">
        <v>401</v>
      </c>
      <c r="Q76" s="62"/>
      <c r="R76" s="62"/>
      <c r="S76" s="62"/>
      <c r="T76" s="139">
        <f>K76*O76</f>
        <v>200</v>
      </c>
      <c r="U76" s="138"/>
      <c r="V76" s="138"/>
      <c r="W76" s="359">
        <f>SUM(Q76:V76)</f>
        <v>200</v>
      </c>
    </row>
    <row r="77" spans="1:23" ht="15.75" thickBot="1">
      <c r="A77" s="67"/>
      <c r="B77" s="853"/>
      <c r="C77" s="849"/>
      <c r="D77" s="849"/>
      <c r="E77" s="849"/>
      <c r="F77" s="849"/>
      <c r="G77" s="849"/>
      <c r="H77" s="849"/>
      <c r="I77" s="849"/>
      <c r="J77" s="849"/>
      <c r="K77" s="849"/>
      <c r="L77" s="849"/>
      <c r="M77" s="849"/>
      <c r="N77" s="849"/>
      <c r="O77" s="849"/>
      <c r="P77" s="849"/>
      <c r="Q77" s="849"/>
      <c r="R77" s="849"/>
      <c r="S77" s="849"/>
      <c r="T77" s="1012"/>
      <c r="U77" s="1012"/>
      <c r="V77" s="1012"/>
      <c r="W77" s="184">
        <f>SUM(W73:W76)</f>
        <v>19727.509999999998</v>
      </c>
    </row>
    <row r="78" spans="1:23" ht="15.75" thickBot="1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1768"/>
      <c r="S78" s="1078" t="s">
        <v>410</v>
      </c>
      <c r="T78" s="1079"/>
      <c r="U78" s="850"/>
      <c r="V78" s="850"/>
      <c r="W78" s="851">
        <f>W77+W71+W53+W20+W30</f>
        <v>279192.33849375998</v>
      </c>
    </row>
    <row r="79" spans="1:23" ht="15.75" thickBot="1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1768"/>
      <c r="S79" s="1078" t="s">
        <v>411</v>
      </c>
      <c r="T79" s="1079"/>
      <c r="U79" s="415"/>
      <c r="V79" s="415"/>
      <c r="W79" s="196">
        <f>0.22*W78</f>
        <v>61422.314468627192</v>
      </c>
    </row>
    <row r="80" spans="1:23" ht="15.75" thickBot="1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1768"/>
      <c r="S80" s="1078" t="s">
        <v>412</v>
      </c>
      <c r="T80" s="1079"/>
      <c r="U80" s="415"/>
      <c r="V80" s="415"/>
      <c r="W80" s="739">
        <f>W79+W78</f>
        <v>340614.65296238719</v>
      </c>
    </row>
    <row r="81" spans="1:18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C83" s="45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/>
      <c r="B84" s="3"/>
    </row>
    <row r="85" spans="1:18">
      <c r="A85" s="45"/>
      <c r="B85" s="3"/>
    </row>
    <row r="86" spans="1:18">
      <c r="A86" s="45"/>
      <c r="B86" s="3"/>
    </row>
    <row r="87" spans="1:18">
      <c r="A87" s="45"/>
      <c r="B87" s="3"/>
    </row>
    <row r="88" spans="1:18">
      <c r="A88" s="45"/>
      <c r="B88" s="3"/>
    </row>
    <row r="89" spans="1:18">
      <c r="A89" s="45"/>
      <c r="B89" s="52"/>
    </row>
  </sheetData>
  <mergeCells count="80">
    <mergeCell ref="B42:F42"/>
    <mergeCell ref="B36:F36"/>
    <mergeCell ref="B39:F39"/>
    <mergeCell ref="B73:F73"/>
    <mergeCell ref="Q74:V74"/>
    <mergeCell ref="B76:F76"/>
    <mergeCell ref="B75:F75"/>
    <mergeCell ref="B74:F74"/>
    <mergeCell ref="B46:F46"/>
    <mergeCell ref="B47:F47"/>
    <mergeCell ref="B48:F48"/>
    <mergeCell ref="B51:F51"/>
    <mergeCell ref="A3:A5"/>
    <mergeCell ref="B3:F5"/>
    <mergeCell ref="B6:F6"/>
    <mergeCell ref="B18:F18"/>
    <mergeCell ref="B19:F19"/>
    <mergeCell ref="B11:F11"/>
    <mergeCell ref="B12:F12"/>
    <mergeCell ref="B13:F13"/>
    <mergeCell ref="B14:F14"/>
    <mergeCell ref="B15:F15"/>
    <mergeCell ref="B16:F16"/>
    <mergeCell ref="B17:F17"/>
    <mergeCell ref="G3:G5"/>
    <mergeCell ref="B20:S20"/>
    <mergeCell ref="B32:F32"/>
    <mergeCell ref="B25:F25"/>
    <mergeCell ref="B28:F28"/>
    <mergeCell ref="B35:F35"/>
    <mergeCell ref="B22:F22"/>
    <mergeCell ref="B33:F33"/>
    <mergeCell ref="B26:F26"/>
    <mergeCell ref="B34:F34"/>
    <mergeCell ref="B27:F27"/>
    <mergeCell ref="B68:F68"/>
    <mergeCell ref="W4:W5"/>
    <mergeCell ref="B10:F10"/>
    <mergeCell ref="P3:P5"/>
    <mergeCell ref="B29:F29"/>
    <mergeCell ref="O3:O5"/>
    <mergeCell ref="B8:F8"/>
    <mergeCell ref="B9:F9"/>
    <mergeCell ref="B7:W7"/>
    <mergeCell ref="Q3:W3"/>
    <mergeCell ref="Q4:V4"/>
    <mergeCell ref="N3:N5"/>
    <mergeCell ref="H3:M3"/>
    <mergeCell ref="H4:M4"/>
    <mergeCell ref="B23:F23"/>
    <mergeCell ref="B24:F24"/>
    <mergeCell ref="B44:F44"/>
    <mergeCell ref="B45:F45"/>
    <mergeCell ref="B72:W72"/>
    <mergeCell ref="B59:F59"/>
    <mergeCell ref="B49:F49"/>
    <mergeCell ref="B50:F50"/>
    <mergeCell ref="B58:F58"/>
    <mergeCell ref="B57:F57"/>
    <mergeCell ref="B71:S71"/>
    <mergeCell ref="B53:S53"/>
    <mergeCell ref="B60:F60"/>
    <mergeCell ref="B61:F61"/>
    <mergeCell ref="B65:F65"/>
    <mergeCell ref="B66:F66"/>
    <mergeCell ref="B67:F67"/>
    <mergeCell ref="B69:F69"/>
    <mergeCell ref="B70:F70"/>
    <mergeCell ref="B52:F52"/>
    <mergeCell ref="B30:S30"/>
    <mergeCell ref="B62:F62"/>
    <mergeCell ref="B63:F63"/>
    <mergeCell ref="B37:F37"/>
    <mergeCell ref="B38:F38"/>
    <mergeCell ref="B41:F41"/>
    <mergeCell ref="B54:W54"/>
    <mergeCell ref="B55:F55"/>
    <mergeCell ref="B56:F56"/>
    <mergeCell ref="B40:F40"/>
    <mergeCell ref="B43:F43"/>
  </mergeCells>
  <phoneticPr fontId="59" type="noConversion"/>
  <pageMargins left="0.70866141732283472" right="0.31496062992125984" top="0.74803149606299213" bottom="0.74803149606299213" header="0.31496062992125984" footer="0.31496062992125984"/>
  <pageSetup paperSize="8" scale="70" orientation="landscape" r:id="rId1"/>
  <ignoredErrors>
    <ignoredError sqref="U4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tabSelected="1" topLeftCell="A35" workbookViewId="0">
      <selection activeCell="S56" sqref="S56"/>
    </sheetView>
    <sheetView topLeftCell="A33" workbookViewId="1">
      <selection activeCell="B44" sqref="B44:F44"/>
    </sheetView>
  </sheetViews>
  <sheetFormatPr defaultRowHeight="15"/>
  <cols>
    <col min="11" max="11" width="13.140625" bestFit="1" customWidth="1"/>
    <col min="12" max="12" width="9.140625" style="542" customWidth="1"/>
    <col min="18" max="18" width="13.140625" bestFit="1" customWidth="1"/>
    <col min="19" max="19" width="11.140625" style="542" bestFit="1" customWidth="1"/>
  </cols>
  <sheetData>
    <row r="1" spans="1:19" ht="15.75">
      <c r="A1" s="1" t="s">
        <v>776</v>
      </c>
      <c r="L1" s="348"/>
      <c r="M1" s="348"/>
      <c r="N1" s="348"/>
      <c r="O1" s="348"/>
      <c r="P1" s="348"/>
      <c r="Q1" s="348"/>
      <c r="R1" s="348"/>
      <c r="S1" s="348"/>
    </row>
    <row r="2" spans="1:19" ht="15.75" thickBot="1">
      <c r="L2" s="348"/>
      <c r="M2" s="348"/>
      <c r="N2" s="348"/>
      <c r="O2" s="348"/>
      <c r="P2" s="348"/>
      <c r="Q2" s="348"/>
      <c r="R2" s="348"/>
      <c r="S2" s="348"/>
    </row>
    <row r="3" spans="1:19" ht="15.75" thickBot="1">
      <c r="A3" s="1242" t="s">
        <v>41</v>
      </c>
      <c r="B3" s="1245" t="s">
        <v>42</v>
      </c>
      <c r="C3" s="1246"/>
      <c r="D3" s="1246"/>
      <c r="E3" s="1246"/>
      <c r="F3" s="1247"/>
      <c r="G3" s="1250" t="s">
        <v>11</v>
      </c>
      <c r="H3" s="1314" t="s">
        <v>43</v>
      </c>
      <c r="I3" s="1552"/>
      <c r="J3" s="1552"/>
      <c r="K3" s="1552"/>
      <c r="L3" s="1695" t="s">
        <v>2</v>
      </c>
      <c r="M3" s="1435" t="s">
        <v>398</v>
      </c>
      <c r="N3" s="1443" t="s">
        <v>399</v>
      </c>
      <c r="O3" s="1705" t="s">
        <v>413</v>
      </c>
      <c r="P3" s="1706"/>
      <c r="Q3" s="1706"/>
      <c r="R3" s="1706"/>
      <c r="S3" s="1707"/>
    </row>
    <row r="4" spans="1:19" ht="15.75" thickBot="1">
      <c r="A4" s="1243"/>
      <c r="B4" s="1145"/>
      <c r="C4" s="1146"/>
      <c r="D4" s="1146"/>
      <c r="E4" s="1146"/>
      <c r="F4" s="1147"/>
      <c r="G4" s="1251"/>
      <c r="H4" s="1432" t="s">
        <v>44</v>
      </c>
      <c r="I4" s="1433"/>
      <c r="J4" s="1433"/>
      <c r="K4" s="1433"/>
      <c r="L4" s="1696"/>
      <c r="M4" s="1436"/>
      <c r="N4" s="1530"/>
      <c r="O4" s="1705" t="s">
        <v>44</v>
      </c>
      <c r="P4" s="1706"/>
      <c r="Q4" s="1706"/>
      <c r="R4" s="1706"/>
      <c r="S4" s="551" t="s">
        <v>256</v>
      </c>
    </row>
    <row r="5" spans="1:19" ht="15.75" thickBot="1">
      <c r="A5" s="1243"/>
      <c r="B5" s="1309"/>
      <c r="C5" s="1310"/>
      <c r="D5" s="1310"/>
      <c r="E5" s="1310"/>
      <c r="F5" s="1311"/>
      <c r="G5" s="1312"/>
      <c r="H5" s="1314" t="str">
        <f>Tab2b!H5</f>
        <v>Kirikaia talu tee</v>
      </c>
      <c r="I5" s="1315"/>
      <c r="J5" s="399" t="str">
        <f>Tab2b!J5</f>
        <v>Aeli tee</v>
      </c>
      <c r="K5" s="399" t="str">
        <f>Tab2b!K5</f>
        <v>Ruskemäe tee</v>
      </c>
      <c r="L5" s="1697"/>
      <c r="M5" s="1701"/>
      <c r="N5" s="1530"/>
      <c r="O5" s="1681" t="str">
        <f>H5</f>
        <v>Kirikaia talu tee</v>
      </c>
      <c r="P5" s="1683"/>
      <c r="Q5" s="819" t="str">
        <f>J5</f>
        <v>Aeli tee</v>
      </c>
      <c r="R5" s="414" t="str">
        <f>K5</f>
        <v>Ruskemäe tee</v>
      </c>
      <c r="S5" s="826"/>
    </row>
    <row r="6" spans="1:19" ht="15.75" thickBot="1">
      <c r="A6" s="1244"/>
      <c r="B6" s="1164"/>
      <c r="C6" s="1248"/>
      <c r="D6" s="1248"/>
      <c r="E6" s="1248"/>
      <c r="F6" s="1249"/>
      <c r="G6" s="1252"/>
      <c r="H6" s="399" t="s">
        <v>868</v>
      </c>
      <c r="I6" s="400" t="s">
        <v>869</v>
      </c>
      <c r="J6" s="399" t="s">
        <v>677</v>
      </c>
      <c r="K6" s="399" t="s">
        <v>678</v>
      </c>
      <c r="L6" s="1698"/>
      <c r="M6" s="1437"/>
      <c r="N6" s="1444"/>
      <c r="O6" s="399" t="s">
        <v>868</v>
      </c>
      <c r="P6" s="400" t="s">
        <v>869</v>
      </c>
      <c r="Q6" s="399" t="s">
        <v>677</v>
      </c>
      <c r="R6" s="399" t="s">
        <v>678</v>
      </c>
      <c r="S6" s="552"/>
    </row>
    <row r="7" spans="1:19" ht="15.75" thickBot="1">
      <c r="A7" s="84" t="s">
        <v>45</v>
      </c>
      <c r="B7" s="1711" t="s">
        <v>46</v>
      </c>
      <c r="C7" s="1711"/>
      <c r="D7" s="1711"/>
      <c r="E7" s="1711"/>
      <c r="F7" s="1711"/>
      <c r="G7" s="85" t="s">
        <v>47</v>
      </c>
      <c r="H7" s="85" t="s">
        <v>48</v>
      </c>
      <c r="I7" s="85" t="s">
        <v>49</v>
      </c>
      <c r="J7" s="85" t="s">
        <v>50</v>
      </c>
      <c r="K7" s="85" t="s">
        <v>51</v>
      </c>
      <c r="L7" s="543" t="s">
        <v>53</v>
      </c>
      <c r="M7" s="85" t="s">
        <v>229</v>
      </c>
      <c r="N7" s="85" t="s">
        <v>230</v>
      </c>
      <c r="O7" s="85" t="s">
        <v>231</v>
      </c>
      <c r="P7" s="85" t="s">
        <v>232</v>
      </c>
      <c r="Q7" s="85" t="s">
        <v>233</v>
      </c>
      <c r="R7" s="85" t="s">
        <v>234</v>
      </c>
      <c r="S7" s="553" t="s">
        <v>236</v>
      </c>
    </row>
    <row r="8" spans="1:19" ht="15.75" thickBot="1">
      <c r="A8" s="197">
        <v>0</v>
      </c>
      <c r="B8" s="1702" t="s">
        <v>103</v>
      </c>
      <c r="C8" s="1703"/>
      <c r="D8" s="1703"/>
      <c r="E8" s="1703"/>
      <c r="F8" s="1704"/>
      <c r="G8" s="198" t="s">
        <v>65</v>
      </c>
      <c r="H8" s="199">
        <f>Tab2b!H8</f>
        <v>3432</v>
      </c>
      <c r="I8" s="199">
        <f>Tab2b!I8</f>
        <v>2596</v>
      </c>
      <c r="J8" s="199">
        <f>Tab2b!J8</f>
        <v>472</v>
      </c>
      <c r="K8" s="199">
        <f>Tab2b!K8</f>
        <v>941</v>
      </c>
      <c r="L8" s="544">
        <f>SUM(H8:K8)</f>
        <v>7441</v>
      </c>
      <c r="M8" s="200"/>
      <c r="N8" s="200"/>
      <c r="O8" s="200"/>
      <c r="P8" s="200"/>
      <c r="Q8" s="200"/>
      <c r="R8" s="200"/>
      <c r="S8" s="554"/>
    </row>
    <row r="9" spans="1:19" ht="15.75" thickBot="1">
      <c r="A9" s="89">
        <f>Tab2b!A9</f>
        <v>1</v>
      </c>
      <c r="B9" s="1699" t="s">
        <v>54</v>
      </c>
      <c r="C9" s="1699"/>
      <c r="D9" s="1699"/>
      <c r="E9" s="1699"/>
      <c r="F9" s="1699"/>
      <c r="G9" s="1699"/>
      <c r="H9" s="1699"/>
      <c r="I9" s="1699"/>
      <c r="J9" s="1699"/>
      <c r="K9" s="1699"/>
      <c r="L9" s="1699"/>
      <c r="M9" s="1699"/>
      <c r="N9" s="1699"/>
      <c r="O9" s="1679"/>
      <c r="P9" s="1679"/>
      <c r="Q9" s="1679"/>
      <c r="R9" s="1679"/>
      <c r="S9" s="1680"/>
    </row>
    <row r="10" spans="1:19" ht="30" customHeight="1">
      <c r="A10" s="89">
        <f>Tab2b!A10</f>
        <v>2</v>
      </c>
      <c r="B10" s="1712" t="s">
        <v>104</v>
      </c>
      <c r="C10" s="1713"/>
      <c r="D10" s="1713"/>
      <c r="E10" s="1713"/>
      <c r="F10" s="1714"/>
      <c r="G10" s="113" t="s">
        <v>65</v>
      </c>
      <c r="H10" s="33">
        <f>Tab2b!H10</f>
        <v>3432</v>
      </c>
      <c r="I10" s="33">
        <f>Tab2b!I10</f>
        <v>2596</v>
      </c>
      <c r="J10" s="33">
        <f>Tab2b!J10</f>
        <v>472</v>
      </c>
      <c r="K10" s="34">
        <f>Tab2b!K10</f>
        <v>941</v>
      </c>
      <c r="L10" s="545">
        <f>SUM(H10:K10)</f>
        <v>7441</v>
      </c>
      <c r="M10" s="61">
        <v>0.12</v>
      </c>
      <c r="N10" s="114" t="s">
        <v>414</v>
      </c>
      <c r="O10" s="32">
        <f>SUM($M$10*H10)</f>
        <v>411.84</v>
      </c>
      <c r="P10" s="33">
        <f>SUM($M$10*I10)</f>
        <v>311.52</v>
      </c>
      <c r="Q10" s="33">
        <f>SUM($M$10*J10)</f>
        <v>56.64</v>
      </c>
      <c r="R10" s="33">
        <f>SUM($M$10*K10)</f>
        <v>112.92</v>
      </c>
      <c r="S10" s="555">
        <f>SUM(O10:R10)</f>
        <v>892.91999999999985</v>
      </c>
    </row>
    <row r="11" spans="1:19" ht="15.75" thickBot="1">
      <c r="A11" s="89">
        <f>Tab2b!A11</f>
        <v>3</v>
      </c>
      <c r="B11" s="1663" t="s">
        <v>105</v>
      </c>
      <c r="C11" s="1664"/>
      <c r="D11" s="1664"/>
      <c r="E11" s="1664"/>
      <c r="F11" s="1715"/>
      <c r="G11" s="201" t="s">
        <v>24</v>
      </c>
      <c r="H11" s="148">
        <f>Tab2b!H11</f>
        <v>22</v>
      </c>
      <c r="I11" s="148">
        <f>Tab2b!I11</f>
        <v>13</v>
      </c>
      <c r="J11" s="148">
        <f>Tab2b!J11</f>
        <v>3</v>
      </c>
      <c r="K11" s="148">
        <f>Tab2b!K11</f>
        <v>7</v>
      </c>
      <c r="L11" s="546">
        <f>SUM(H11:K11)</f>
        <v>45</v>
      </c>
      <c r="M11" s="29">
        <v>15</v>
      </c>
      <c r="N11" s="21" t="s">
        <v>401</v>
      </c>
      <c r="O11" s="116">
        <f>SUM($M$11*H11)</f>
        <v>330</v>
      </c>
      <c r="P11" s="65">
        <f>SUM($M$11*I11)</f>
        <v>195</v>
      </c>
      <c r="Q11" s="65">
        <f>SUM($M$11*J11)</f>
        <v>45</v>
      </c>
      <c r="R11" s="65">
        <f>SUM($M$11*K11)</f>
        <v>105</v>
      </c>
      <c r="S11" s="556">
        <f>SUM(O11:R11)</f>
        <v>675</v>
      </c>
    </row>
    <row r="12" spans="1:19" ht="15.75" thickBot="1">
      <c r="B12" s="1708" t="s">
        <v>161</v>
      </c>
      <c r="C12" s="1708"/>
      <c r="D12" s="1708"/>
      <c r="E12" s="1708"/>
      <c r="F12" s="1708"/>
      <c r="G12" s="1708"/>
      <c r="H12" s="1708"/>
      <c r="I12" s="1708"/>
      <c r="J12" s="1708"/>
      <c r="K12" s="1708"/>
      <c r="L12" s="1708"/>
      <c r="M12" s="1708"/>
      <c r="N12" s="1708"/>
      <c r="O12" s="1709"/>
      <c r="P12" s="1709"/>
      <c r="Q12" s="1709"/>
      <c r="R12" s="1709"/>
      <c r="S12" s="557">
        <f>SUM(S10:S11)</f>
        <v>1567.9199999999998</v>
      </c>
    </row>
    <row r="13" spans="1:19" ht="15.75" thickBot="1">
      <c r="A13" s="89">
        <f>Tab2b!A12</f>
        <v>4</v>
      </c>
      <c r="B13" s="1699" t="s">
        <v>106</v>
      </c>
      <c r="C13" s="1699"/>
      <c r="D13" s="1699"/>
      <c r="E13" s="1699"/>
      <c r="F13" s="1699"/>
      <c r="G13" s="1699"/>
      <c r="H13" s="1699"/>
      <c r="I13" s="1699"/>
      <c r="J13" s="1699"/>
      <c r="K13" s="1699"/>
      <c r="L13" s="1699"/>
      <c r="M13" s="1699"/>
      <c r="N13" s="1699"/>
      <c r="O13" s="1679"/>
      <c r="P13" s="1679"/>
      <c r="Q13" s="1679"/>
      <c r="R13" s="1679"/>
      <c r="S13" s="1700"/>
    </row>
    <row r="14" spans="1:19" ht="30" customHeight="1">
      <c r="A14" s="89">
        <f>Tab2b!A13</f>
        <v>5</v>
      </c>
      <c r="B14" s="1716" t="str">
        <f>Tab2b!B13</f>
        <v>Olemasoleva teemulde töötlemine profiili koos teekraede likvideerimisega ning mulde tihendamisega</v>
      </c>
      <c r="C14" s="1717"/>
      <c r="D14" s="1717"/>
      <c r="E14" s="1717"/>
      <c r="F14" s="1718"/>
      <c r="G14" s="113" t="str">
        <f>Tab2b!G13</f>
        <v>m2</v>
      </c>
      <c r="H14" s="33">
        <f>Tab2b!H13</f>
        <v>25740</v>
      </c>
      <c r="I14" s="33">
        <f>Tab2b!I13</f>
        <v>19470</v>
      </c>
      <c r="J14" s="33">
        <f>Tab2b!J13</f>
        <v>3540</v>
      </c>
      <c r="K14" s="34">
        <f>Tab2b!K13</f>
        <v>7057.5</v>
      </c>
      <c r="L14" s="772">
        <f>SUM(H14:K14)</f>
        <v>55807.5</v>
      </c>
      <c r="M14" s="36">
        <v>1.5</v>
      </c>
      <c r="N14" s="114" t="s">
        <v>757</v>
      </c>
      <c r="O14" s="32">
        <f>$M$14*H14</f>
        <v>38610</v>
      </c>
      <c r="P14" s="33">
        <f>$M$14*I14</f>
        <v>29205</v>
      </c>
      <c r="Q14" s="33">
        <f>$M$14*J14</f>
        <v>5310</v>
      </c>
      <c r="R14" s="34">
        <f>$M$14*K14</f>
        <v>10586.25</v>
      </c>
      <c r="S14" s="555">
        <f>SUM(O14:R14)</f>
        <v>83711.25</v>
      </c>
    </row>
    <row r="15" spans="1:19" ht="30" customHeight="1">
      <c r="A15" s="89">
        <f>Tab2b!A14</f>
        <v>6</v>
      </c>
      <c r="B15" s="1326" t="str">
        <f>Tab2b!B14</f>
        <v>Teetrassi täitmine/tasandamine teekraavide pinnasest, koos tihendamisega</v>
      </c>
      <c r="C15" s="1327"/>
      <c r="D15" s="1327"/>
      <c r="E15" s="1327"/>
      <c r="F15" s="1721"/>
      <c r="G15" s="499" t="str">
        <f>Tab2b!G14</f>
        <v>m3</v>
      </c>
      <c r="H15" s="20">
        <f>Tab2b!H14</f>
        <v>2742.95</v>
      </c>
      <c r="I15" s="20">
        <f>Tab2b!I14</f>
        <v>1603.28</v>
      </c>
      <c r="J15" s="605">
        <f>Tab2b!J14</f>
        <v>559.53</v>
      </c>
      <c r="K15" s="842">
        <f>Tab2b!K14</f>
        <v>204.97</v>
      </c>
      <c r="L15" s="548">
        <f>SUM(H15:K15)</f>
        <v>5110.7299999999996</v>
      </c>
      <c r="M15" s="211">
        <v>2.67</v>
      </c>
      <c r="N15" s="140" t="s">
        <v>756</v>
      </c>
      <c r="O15" s="612">
        <f>$M$15*H15</f>
        <v>7323.6764999999996</v>
      </c>
      <c r="P15" s="139">
        <f>$M$15*I15</f>
        <v>4280.7575999999999</v>
      </c>
      <c r="Q15" s="148">
        <f>$M$15*J15</f>
        <v>1493.9450999999999</v>
      </c>
      <c r="R15" s="827">
        <f>$M$15*K15</f>
        <v>547.26990000000001</v>
      </c>
      <c r="S15" s="606">
        <f>SUM(O15:R15)</f>
        <v>13645.649099999999</v>
      </c>
    </row>
    <row r="16" spans="1:19" ht="30" customHeight="1">
      <c r="A16" s="89">
        <f>Tab2b!A15</f>
        <v>7</v>
      </c>
      <c r="B16" s="1326" t="str">
        <f>Tab2b!B15</f>
        <v>Olemasoleva teepinna koorimine koos pinnase äraveoga kuni 300m</v>
      </c>
      <c r="C16" s="1327"/>
      <c r="D16" s="1327"/>
      <c r="E16" s="1327"/>
      <c r="F16" s="1721"/>
      <c r="G16" s="321" t="str">
        <f>Tab2b!G15</f>
        <v>m3</v>
      </c>
      <c r="H16" s="20">
        <f>Tab2b!H15</f>
        <v>1006.8799999999999</v>
      </c>
      <c r="I16" s="20">
        <f>Tab2b!I15</f>
        <v>684.84</v>
      </c>
      <c r="J16" s="139"/>
      <c r="K16" s="611"/>
      <c r="L16" s="548">
        <f t="shared" ref="L16:L18" si="0">SUM(H16:K16)</f>
        <v>1691.7199999999998</v>
      </c>
      <c r="M16" s="211">
        <v>2.82</v>
      </c>
      <c r="N16" s="575" t="s">
        <v>804</v>
      </c>
      <c r="O16" s="612">
        <f>$M$16*H16</f>
        <v>2839.4015999999997</v>
      </c>
      <c r="P16" s="139">
        <f>$M$16*I16</f>
        <v>1931.2488000000001</v>
      </c>
      <c r="Q16" s="139"/>
      <c r="R16" s="611"/>
      <c r="S16" s="606">
        <f>SUM(O16:R16)</f>
        <v>4770.6503999999995</v>
      </c>
    </row>
    <row r="17" spans="1:19" ht="30" customHeight="1">
      <c r="A17" s="89">
        <f>Tab2b!A16</f>
        <v>8</v>
      </c>
      <c r="B17" s="1326" t="str">
        <f>Tab2b!B16</f>
        <v>Nõva kaevest saadava pinnase teisaldamine buldooseriga kuni 100m</v>
      </c>
      <c r="C17" s="1327"/>
      <c r="D17" s="1327"/>
      <c r="E17" s="1327"/>
      <c r="F17" s="1721"/>
      <c r="G17" s="321" t="str">
        <f>Tab2b!G16</f>
        <v>m3</v>
      </c>
      <c r="H17" s="20">
        <f>Tab2b!H16</f>
        <v>226</v>
      </c>
      <c r="I17" s="139"/>
      <c r="J17" s="139"/>
      <c r="K17" s="611"/>
      <c r="L17" s="548">
        <f t="shared" si="0"/>
        <v>226</v>
      </c>
      <c r="M17" s="211">
        <v>0.6</v>
      </c>
      <c r="N17" s="575" t="s">
        <v>860</v>
      </c>
      <c r="O17" s="612">
        <f>$M$17*H17</f>
        <v>135.6</v>
      </c>
      <c r="P17" s="139"/>
      <c r="Q17" s="139"/>
      <c r="R17" s="611"/>
      <c r="S17" s="606">
        <f>SUM(O17:R17)</f>
        <v>135.6</v>
      </c>
    </row>
    <row r="18" spans="1:19" ht="30" customHeight="1" thickBot="1">
      <c r="A18" s="89">
        <f>Tab2b!A17</f>
        <v>9</v>
      </c>
      <c r="B18" s="1719" t="str">
        <f>Tab2b!B17</f>
        <v>Täitepinnase vedu ja tee mulde ehitamine (sorteeritud looduslik kruus pk0...pk4+14)</v>
      </c>
      <c r="C18" s="1720"/>
      <c r="D18" s="1720"/>
      <c r="E18" s="1720"/>
      <c r="F18" s="1720"/>
      <c r="G18" s="5" t="str">
        <f>Tab2b!G17</f>
        <v>m3</v>
      </c>
      <c r="H18" s="29">
        <f>Tab2b!H17</f>
        <v>588</v>
      </c>
      <c r="I18" s="29"/>
      <c r="J18" s="29"/>
      <c r="K18" s="41"/>
      <c r="L18" s="549">
        <f t="shared" si="0"/>
        <v>588</v>
      </c>
      <c r="M18" s="1057">
        <v>8.02</v>
      </c>
      <c r="N18" s="21" t="s">
        <v>759</v>
      </c>
      <c r="O18" s="25">
        <f>$M$18*H18</f>
        <v>4715.7599999999993</v>
      </c>
      <c r="P18" s="29"/>
      <c r="Q18" s="65"/>
      <c r="R18" s="21"/>
      <c r="S18" s="828">
        <f>SUM(O18:R18)</f>
        <v>4715.7599999999993</v>
      </c>
    </row>
    <row r="19" spans="1:19" ht="15.75" thickBot="1">
      <c r="B19" s="1710" t="s">
        <v>161</v>
      </c>
      <c r="C19" s="1710"/>
      <c r="D19" s="1710"/>
      <c r="E19" s="1710"/>
      <c r="F19" s="1710"/>
      <c r="G19" s="1710"/>
      <c r="H19" s="1710"/>
      <c r="I19" s="1710"/>
      <c r="J19" s="1710"/>
      <c r="K19" s="1710"/>
      <c r="L19" s="1710"/>
      <c r="M19" s="1710"/>
      <c r="N19" s="1710"/>
      <c r="O19" s="1710"/>
      <c r="P19" s="1710"/>
      <c r="Q19" s="1710"/>
      <c r="R19" s="1710"/>
      <c r="S19" s="829">
        <f>SUM(S14:S18)</f>
        <v>106978.90949999999</v>
      </c>
    </row>
    <row r="20" spans="1:19" ht="15.75" thickBot="1">
      <c r="A20" s="89">
        <f>Tab2b!A18</f>
        <v>10</v>
      </c>
      <c r="B20" s="1699" t="s">
        <v>108</v>
      </c>
      <c r="C20" s="1699"/>
      <c r="D20" s="1699"/>
      <c r="E20" s="1699"/>
      <c r="F20" s="1699"/>
      <c r="G20" s="1679"/>
      <c r="H20" s="1679"/>
      <c r="I20" s="1679"/>
      <c r="J20" s="1679"/>
      <c r="K20" s="1679"/>
      <c r="L20" s="1679"/>
      <c r="M20" s="1679"/>
      <c r="N20" s="1679"/>
      <c r="O20" s="1699"/>
      <c r="P20" s="1699"/>
      <c r="Q20" s="1699"/>
      <c r="R20" s="1699"/>
      <c r="S20" s="1680"/>
    </row>
    <row r="21" spans="1:19" ht="45" customHeight="1" thickBot="1">
      <c r="A21" s="89">
        <f>Tab2b!A19</f>
        <v>11</v>
      </c>
      <c r="B21" s="1728" t="str">
        <f>Tab2b!B19</f>
        <v>Geotekstiili 4. profiil (NGS 4), mitte kootud kangas, laisuega 5,0 m, paigaldamine tihendatud ja profileeritud muldkehale</v>
      </c>
      <c r="C21" s="1729"/>
      <c r="D21" s="1729"/>
      <c r="E21" s="1729"/>
      <c r="F21" s="1729"/>
      <c r="G21" s="113" t="str">
        <f>Tab2b!G19</f>
        <v>m2</v>
      </c>
      <c r="H21" s="33">
        <f>Tab2b!H19</f>
        <v>13968.900000000001</v>
      </c>
      <c r="I21" s="33">
        <f>Tab2b!I19</f>
        <v>10557</v>
      </c>
      <c r="J21" s="33">
        <f>Tab2b!J19</f>
        <v>2407.1999999999998</v>
      </c>
      <c r="K21" s="34">
        <f>Tab2b!K19</f>
        <v>4799.1000000000004</v>
      </c>
      <c r="L21" s="547">
        <f t="shared" ref="L21:L26" si="1">SUM(H21:K21)</f>
        <v>31732.200000000004</v>
      </c>
      <c r="M21" s="61">
        <v>1.03</v>
      </c>
      <c r="N21" s="114" t="s">
        <v>415</v>
      </c>
      <c r="O21" s="32">
        <f>$M$21*H21</f>
        <v>14387.967000000002</v>
      </c>
      <c r="P21" s="33">
        <f>$M$21*I21</f>
        <v>10873.710000000001</v>
      </c>
      <c r="Q21" s="33">
        <f>$M$21*J21</f>
        <v>2479.4159999999997</v>
      </c>
      <c r="R21" s="33">
        <f>$M$21*K21</f>
        <v>4943.0730000000003</v>
      </c>
      <c r="S21" s="558">
        <f t="shared" ref="S21:S26" si="2">SUM(O21:R21)</f>
        <v>32684.166000000005</v>
      </c>
    </row>
    <row r="22" spans="1:19" ht="45" customHeight="1">
      <c r="A22" s="89">
        <f>Tab2b!A20</f>
        <v>12</v>
      </c>
      <c r="B22" s="1728" t="str">
        <f>Tab2b!B20</f>
        <v>Geokomposiit 50/50 kN/m, mitte kootud kangas, laiusega 5,0 m, paigaldamine tihendatud ja profileeritud muldkehale</v>
      </c>
      <c r="C22" s="1729"/>
      <c r="D22" s="1729"/>
      <c r="E22" s="1729"/>
      <c r="F22" s="1729"/>
      <c r="G22" s="321" t="str">
        <f>Tab2b!G20</f>
        <v>m2</v>
      </c>
      <c r="H22" s="20">
        <f>Tab2b!H20</f>
        <v>3534.3</v>
      </c>
      <c r="I22" s="20">
        <f>Tab2b!I20</f>
        <v>2682.6000000000004</v>
      </c>
      <c r="J22" s="20"/>
      <c r="K22" s="18"/>
      <c r="L22" s="548">
        <f t="shared" si="1"/>
        <v>6216.9000000000005</v>
      </c>
      <c r="M22" s="147">
        <v>2.4</v>
      </c>
      <c r="N22" s="13" t="s">
        <v>401</v>
      </c>
      <c r="O22" s="541">
        <f>$M$22*H22</f>
        <v>8482.32</v>
      </c>
      <c r="P22" s="148">
        <f>$M$22*I22</f>
        <v>6438.2400000000007</v>
      </c>
      <c r="Q22" s="148"/>
      <c r="R22" s="148"/>
      <c r="S22" s="559">
        <f t="shared" si="2"/>
        <v>14920.560000000001</v>
      </c>
    </row>
    <row r="23" spans="1:19" ht="30" customHeight="1">
      <c r="A23" s="89">
        <f>Tab2b!A21</f>
        <v>13</v>
      </c>
      <c r="B23" s="1239" t="s">
        <v>416</v>
      </c>
      <c r="C23" s="1240"/>
      <c r="D23" s="1240"/>
      <c r="E23" s="1240"/>
      <c r="F23" s="1240"/>
      <c r="G23" s="321" t="str">
        <f>Tab2b!G21</f>
        <v>m</v>
      </c>
      <c r="H23" s="20">
        <f>Tab2b!H21</f>
        <v>3432</v>
      </c>
      <c r="I23" s="20">
        <f>Tab2b!I21</f>
        <v>2596</v>
      </c>
      <c r="J23" s="20">
        <f>Tab2b!J21</f>
        <v>472</v>
      </c>
      <c r="K23" s="18">
        <f>Tab2b!K21</f>
        <v>941</v>
      </c>
      <c r="L23" s="548">
        <f t="shared" si="1"/>
        <v>7441</v>
      </c>
      <c r="M23" s="607">
        <v>8.02</v>
      </c>
      <c r="N23" s="13" t="s">
        <v>759</v>
      </c>
      <c r="O23" s="27">
        <f>$M$23*H23</f>
        <v>27524.639999999999</v>
      </c>
      <c r="P23" s="20">
        <f>$M$23*I23</f>
        <v>20819.919999999998</v>
      </c>
      <c r="Q23" s="20">
        <f>$M$23*J23</f>
        <v>3785.4399999999996</v>
      </c>
      <c r="R23" s="20">
        <f>$M$23*K23</f>
        <v>7546.82</v>
      </c>
      <c r="S23" s="560">
        <f t="shared" si="2"/>
        <v>59676.82</v>
      </c>
    </row>
    <row r="24" spans="1:19" ht="30" customHeight="1">
      <c r="A24" s="89">
        <f>Tab2b!A22</f>
        <v>14</v>
      </c>
      <c r="B24" s="1239" t="s">
        <v>110</v>
      </c>
      <c r="C24" s="1240"/>
      <c r="D24" s="1240"/>
      <c r="E24" s="1240"/>
      <c r="F24" s="1732"/>
      <c r="G24" s="321" t="str">
        <f>Tab2b!G22</f>
        <v>m3</v>
      </c>
      <c r="H24" s="20">
        <f>Tab2b!H22</f>
        <v>4718.8499999999995</v>
      </c>
      <c r="I24" s="20">
        <f>Tab2b!I22</f>
        <v>2973.7000000000003</v>
      </c>
      <c r="J24" s="20">
        <f>Tab2b!J22</f>
        <v>486.16</v>
      </c>
      <c r="K24" s="18">
        <f>Tab2b!K22</f>
        <v>969.23</v>
      </c>
      <c r="L24" s="548">
        <f t="shared" si="1"/>
        <v>9147.9399999999987</v>
      </c>
      <c r="M24" s="62">
        <v>15</v>
      </c>
      <c r="N24" s="13" t="s">
        <v>401</v>
      </c>
      <c r="O24" s="27">
        <f>$M$24*H24</f>
        <v>70782.749999999985</v>
      </c>
      <c r="P24" s="20">
        <f>$M$24*I24</f>
        <v>44605.500000000007</v>
      </c>
      <c r="Q24" s="20">
        <f>$M$24*J24</f>
        <v>7292.4000000000005</v>
      </c>
      <c r="R24" s="20">
        <f>$M$24*K24</f>
        <v>14538.45</v>
      </c>
      <c r="S24" s="560">
        <f t="shared" si="2"/>
        <v>137219.1</v>
      </c>
    </row>
    <row r="25" spans="1:19" ht="30.75" customHeight="1">
      <c r="A25" s="89">
        <f>Tab2b!A23</f>
        <v>15</v>
      </c>
      <c r="B25" s="1730" t="s">
        <v>417</v>
      </c>
      <c r="C25" s="1731"/>
      <c r="D25" s="1731"/>
      <c r="E25" s="1731"/>
      <c r="F25" s="1731"/>
      <c r="G25" s="321" t="str">
        <f>Tab2b!G23</f>
        <v>m</v>
      </c>
      <c r="H25" s="20">
        <f>Tab2b!H23</f>
        <v>3432</v>
      </c>
      <c r="I25" s="20">
        <f>Tab2b!I23</f>
        <v>2596</v>
      </c>
      <c r="J25" s="20">
        <f>Tab2b!J23</f>
        <v>472</v>
      </c>
      <c r="K25" s="18">
        <f>Tab2b!K23</f>
        <v>941</v>
      </c>
      <c r="L25" s="548">
        <f t="shared" si="1"/>
        <v>7441</v>
      </c>
      <c r="M25" s="147">
        <v>9.42</v>
      </c>
      <c r="N25" s="8" t="s">
        <v>758</v>
      </c>
      <c r="O25" s="27">
        <f>$M$25*H25</f>
        <v>32329.439999999999</v>
      </c>
      <c r="P25" s="20">
        <f>$M$25*I25</f>
        <v>24454.32</v>
      </c>
      <c r="Q25" s="20">
        <f>$M$25*J25</f>
        <v>4446.24</v>
      </c>
      <c r="R25" s="20">
        <f>$M$25*K25</f>
        <v>8864.2199999999993</v>
      </c>
      <c r="S25" s="560">
        <f t="shared" si="2"/>
        <v>70094.219999999987</v>
      </c>
    </row>
    <row r="26" spans="1:19" ht="30.75" customHeight="1" thickBot="1">
      <c r="A26" s="89">
        <f>Tab2b!A24</f>
        <v>16</v>
      </c>
      <c r="B26" s="1725" t="s">
        <v>112</v>
      </c>
      <c r="C26" s="1726"/>
      <c r="D26" s="1726"/>
      <c r="E26" s="1726"/>
      <c r="F26" s="1727"/>
      <c r="G26" s="116" t="str">
        <f>Tab2b!G24</f>
        <v>m3</v>
      </c>
      <c r="H26" s="29">
        <f>Tab2b!H24</f>
        <v>1613.0399999999997</v>
      </c>
      <c r="I26" s="29">
        <f>Tab2b!I24</f>
        <v>1220.1199999999999</v>
      </c>
      <c r="J26" s="29">
        <f>Tab2b!J24</f>
        <v>221.83999999999997</v>
      </c>
      <c r="K26" s="41">
        <f>Tab2b!K24</f>
        <v>442.27</v>
      </c>
      <c r="L26" s="549">
        <f t="shared" si="1"/>
        <v>3497.27</v>
      </c>
      <c r="M26" s="65">
        <v>17</v>
      </c>
      <c r="N26" s="21" t="s">
        <v>401</v>
      </c>
      <c r="O26" s="27">
        <f>$M$26*H26</f>
        <v>27421.679999999997</v>
      </c>
      <c r="P26" s="20">
        <f>$M$26*I26</f>
        <v>20742.039999999997</v>
      </c>
      <c r="Q26" s="20">
        <f>$M$26*J26</f>
        <v>3771.2799999999997</v>
      </c>
      <c r="R26" s="20">
        <f>$M$26*K26</f>
        <v>7518.59</v>
      </c>
      <c r="S26" s="561">
        <f t="shared" si="2"/>
        <v>59453.59</v>
      </c>
    </row>
    <row r="27" spans="1:19" ht="15.75" thickBot="1">
      <c r="B27" s="1722" t="s">
        <v>161</v>
      </c>
      <c r="C27" s="1723"/>
      <c r="D27" s="1723"/>
      <c r="E27" s="1723"/>
      <c r="F27" s="1723"/>
      <c r="G27" s="1724"/>
      <c r="H27" s="1724"/>
      <c r="I27" s="1724"/>
      <c r="J27" s="1724"/>
      <c r="K27" s="1724"/>
      <c r="L27" s="1724"/>
      <c r="M27" s="1724"/>
      <c r="N27" s="1724"/>
      <c r="O27" s="1723"/>
      <c r="P27" s="1723"/>
      <c r="Q27" s="1723"/>
      <c r="R27" s="1723"/>
      <c r="S27" s="562">
        <f>SUM(S21:S26)</f>
        <v>374048.45600000001</v>
      </c>
    </row>
    <row r="28" spans="1:19" ht="15.75" thickBot="1">
      <c r="A28" s="89">
        <f>Tab2b!A25</f>
        <v>17</v>
      </c>
      <c r="B28" s="1733" t="s">
        <v>113</v>
      </c>
      <c r="C28" s="1699"/>
      <c r="D28" s="1699"/>
      <c r="E28" s="1699"/>
      <c r="F28" s="1699"/>
      <c r="G28" s="1699"/>
      <c r="H28" s="1699"/>
      <c r="I28" s="1699"/>
      <c r="J28" s="1699"/>
      <c r="K28" s="1699"/>
      <c r="L28" s="1699"/>
      <c r="M28" s="1699"/>
      <c r="N28" s="1699"/>
      <c r="O28" s="1699"/>
      <c r="P28" s="1699"/>
      <c r="Q28" s="1699"/>
      <c r="R28" s="1699"/>
      <c r="S28" s="1700"/>
    </row>
    <row r="29" spans="1:19" s="482" customFormat="1" ht="30" customHeight="1">
      <c r="A29" s="89">
        <f>Tab2b!A26</f>
        <v>18</v>
      </c>
      <c r="B29" s="1738" t="s">
        <v>114</v>
      </c>
      <c r="C29" s="1739"/>
      <c r="D29" s="1739"/>
      <c r="E29" s="1739"/>
      <c r="F29" s="1739"/>
      <c r="G29" s="571" t="str">
        <f>Tab2b!G26</f>
        <v>tk</v>
      </c>
      <c r="H29" s="571">
        <f>Tab2b!H26</f>
        <v>20</v>
      </c>
      <c r="I29" s="571">
        <f>Tab2b!I26</f>
        <v>11</v>
      </c>
      <c r="J29" s="571">
        <f>Tab2b!J26</f>
        <v>2</v>
      </c>
      <c r="K29" s="775">
        <f>Tab2b!K26</f>
        <v>5</v>
      </c>
      <c r="L29" s="570">
        <f>SUM(H29:K29)</f>
        <v>38</v>
      </c>
      <c r="M29" s="571"/>
      <c r="N29" s="572"/>
      <c r="O29" s="776"/>
      <c r="P29" s="571"/>
      <c r="Q29" s="571"/>
      <c r="R29" s="572"/>
      <c r="S29" s="559"/>
    </row>
    <row r="30" spans="1:19" ht="30" customHeight="1">
      <c r="A30" s="89">
        <f>Tab2b!A27</f>
        <v>19</v>
      </c>
      <c r="B30" s="1740" t="str">
        <f>Tab2b!B27</f>
        <v>mulde ehitamine juurde veetavast mineraalpinnasest, H=20 cm</v>
      </c>
      <c r="C30" s="1741"/>
      <c r="D30" s="1741"/>
      <c r="E30" s="1741"/>
      <c r="F30" s="1741"/>
      <c r="G30" s="75" t="str">
        <f>Tab2b!G27</f>
        <v>m3</v>
      </c>
      <c r="H30" s="75">
        <f>Tab2b!H27</f>
        <v>460</v>
      </c>
      <c r="I30" s="75">
        <f>Tab2b!I27</f>
        <v>253</v>
      </c>
      <c r="J30" s="75">
        <f>Tab2b!J27</f>
        <v>46</v>
      </c>
      <c r="K30" s="233">
        <f>Tab2b!K27</f>
        <v>115</v>
      </c>
      <c r="L30" s="573">
        <f t="shared" ref="L30:L51" si="3">SUM(H30:K30)</f>
        <v>874</v>
      </c>
      <c r="M30" s="62">
        <v>2.67</v>
      </c>
      <c r="N30" s="13" t="s">
        <v>756</v>
      </c>
      <c r="O30" s="566">
        <f>$M$30*H30</f>
        <v>1228.2</v>
      </c>
      <c r="P30" s="524">
        <f>$M$30*I30</f>
        <v>675.51</v>
      </c>
      <c r="Q30" s="524">
        <f>$M$30*J30</f>
        <v>122.82</v>
      </c>
      <c r="R30" s="777">
        <f>$M$30*K30</f>
        <v>307.05</v>
      </c>
      <c r="S30" s="559">
        <f t="shared" ref="S30:S51" si="4">SUM(O30:R30)</f>
        <v>2333.58</v>
      </c>
    </row>
    <row r="31" spans="1:19" ht="44.25" customHeight="1">
      <c r="A31" s="89">
        <f>Tab2b!A28</f>
        <v>20</v>
      </c>
      <c r="B31" s="1740" t="str">
        <f>Tab2b!B28</f>
        <v>sh geotekstiili 4. profiil (NGS 4), mitte kootud kangas, laiusega 5,0 m, paigaldamine tihendatud ja profileeritud muldkehale Ülekatteta maht)</v>
      </c>
      <c r="C31" s="1741"/>
      <c r="D31" s="1741"/>
      <c r="E31" s="1741"/>
      <c r="F31" s="1741"/>
      <c r="G31" s="75" t="str">
        <f>Tab2b!G28</f>
        <v>m2</v>
      </c>
      <c r="H31" s="75">
        <f>Tab2b!H28</f>
        <v>1760</v>
      </c>
      <c r="I31" s="75">
        <f>Tab2b!I28</f>
        <v>770</v>
      </c>
      <c r="J31" s="75">
        <f>Tab2b!J28</f>
        <v>220</v>
      </c>
      <c r="K31" s="233">
        <f>Tab2b!K28</f>
        <v>550</v>
      </c>
      <c r="L31" s="573">
        <f t="shared" si="3"/>
        <v>3300</v>
      </c>
      <c r="M31" s="147">
        <v>1.03</v>
      </c>
      <c r="N31" s="8" t="s">
        <v>415</v>
      </c>
      <c r="O31" s="566">
        <f>$M$31*H31</f>
        <v>1812.8</v>
      </c>
      <c r="P31" s="524">
        <f>$M$31*I31</f>
        <v>793.1</v>
      </c>
      <c r="Q31" s="524">
        <f>$M$31*J31</f>
        <v>226.6</v>
      </c>
      <c r="R31" s="777">
        <f>$M$31*K31</f>
        <v>566.5</v>
      </c>
      <c r="S31" s="559">
        <f t="shared" si="4"/>
        <v>3399</v>
      </c>
    </row>
    <row r="32" spans="1:19" ht="44.25" customHeight="1">
      <c r="A32" s="89">
        <f>Tab2b!A29</f>
        <v>21</v>
      </c>
      <c r="B32" s="1740" t="str">
        <f>Tab2b!B29</f>
        <v>Geokomposiit 50/50 kN/m, mitte kootud kangas, laiusega 5,0 m, paigaldamine tihendatud ja profileeritud muldkehale</v>
      </c>
      <c r="C32" s="1741"/>
      <c r="D32" s="1741"/>
      <c r="E32" s="1741"/>
      <c r="F32" s="1741"/>
      <c r="G32" s="75" t="str">
        <f>Tab2b!G29</f>
        <v>m2</v>
      </c>
      <c r="H32" s="75">
        <f>Tab2b!H29</f>
        <v>440</v>
      </c>
      <c r="I32" s="75">
        <f>Tab2b!I29</f>
        <v>440</v>
      </c>
      <c r="J32" s="75"/>
      <c r="K32" s="233"/>
      <c r="L32" s="573">
        <f t="shared" si="3"/>
        <v>880</v>
      </c>
      <c r="M32" s="147">
        <v>2.4</v>
      </c>
      <c r="N32" s="13" t="s">
        <v>401</v>
      </c>
      <c r="O32" s="566">
        <f>$M$32*H32</f>
        <v>1056</v>
      </c>
      <c r="P32" s="524">
        <f>$M$32*I32</f>
        <v>1056</v>
      </c>
      <c r="Q32" s="524"/>
      <c r="R32" s="777"/>
      <c r="S32" s="559">
        <f>SUM(O32:R32)</f>
        <v>2112</v>
      </c>
    </row>
    <row r="33" spans="1:19" ht="30" customHeight="1">
      <c r="A33" s="89">
        <f>Tab2b!A30</f>
        <v>22</v>
      </c>
      <c r="B33" s="1740" t="str">
        <f>Tab2b!B30</f>
        <v>sh kruus fr 0/63 mm (Pos 3), geomeetriline maht koos hanke, pealelaadimise ja veoga, H=40cm</v>
      </c>
      <c r="C33" s="1741"/>
      <c r="D33" s="1741"/>
      <c r="E33" s="1741"/>
      <c r="F33" s="1741"/>
      <c r="G33" s="75" t="str">
        <f>Tab2b!G30</f>
        <v>m3</v>
      </c>
      <c r="H33" s="75">
        <f>Tab2b!H30</f>
        <v>820</v>
      </c>
      <c r="I33" s="75">
        <f>Tab2b!I30</f>
        <v>451</v>
      </c>
      <c r="J33" s="75">
        <f>Tab2b!J30</f>
        <v>82</v>
      </c>
      <c r="K33" s="233">
        <f>Tab2b!K30</f>
        <v>205</v>
      </c>
      <c r="L33" s="573">
        <f t="shared" si="3"/>
        <v>1558</v>
      </c>
      <c r="M33" s="607">
        <v>8.02</v>
      </c>
      <c r="N33" s="13" t="s">
        <v>759</v>
      </c>
      <c r="O33" s="566">
        <f>$M$33*H33</f>
        <v>6576.4</v>
      </c>
      <c r="P33" s="524">
        <f>$M$33*I33</f>
        <v>3617.02</v>
      </c>
      <c r="Q33" s="524">
        <f>$M$33*J33</f>
        <v>657.64</v>
      </c>
      <c r="R33" s="777">
        <f>$M$33*K33</f>
        <v>1644.1</v>
      </c>
      <c r="S33" s="559">
        <f t="shared" si="4"/>
        <v>12495.16</v>
      </c>
    </row>
    <row r="34" spans="1:19" ht="15" customHeight="1">
      <c r="A34" s="89">
        <f>Tab2b!A31</f>
        <v>23</v>
      </c>
      <c r="B34" s="1740" t="str">
        <f>Tab2b!B31</f>
        <v>Puittaimestiku likvideerimine,  ha ühele</v>
      </c>
      <c r="C34" s="1741"/>
      <c r="D34" s="1741"/>
      <c r="E34" s="1741"/>
      <c r="F34" s="1741"/>
      <c r="G34" s="75" t="str">
        <f>Tab2b!G31</f>
        <v>ha</v>
      </c>
      <c r="H34" s="75">
        <f>Tab2b!H31</f>
        <v>0.6</v>
      </c>
      <c r="I34" s="75">
        <f>Tab2b!I31</f>
        <v>0.32999999999999996</v>
      </c>
      <c r="J34" s="75">
        <f>Tab2b!J31</f>
        <v>0.06</v>
      </c>
      <c r="K34" s="233">
        <f>Tab2b!K31</f>
        <v>0.15</v>
      </c>
      <c r="L34" s="573">
        <f t="shared" si="3"/>
        <v>1.1399999999999999</v>
      </c>
      <c r="M34" s="147">
        <v>2338</v>
      </c>
      <c r="N34" s="8" t="s">
        <v>512</v>
      </c>
      <c r="O34" s="566">
        <f>$M$34*H34</f>
        <v>1402.8</v>
      </c>
      <c r="P34" s="524">
        <f>$M$34*I34</f>
        <v>771.53999999999985</v>
      </c>
      <c r="Q34" s="524">
        <f>$M$34*J34</f>
        <v>140.28</v>
      </c>
      <c r="R34" s="777">
        <f>$M$34*K34</f>
        <v>350.7</v>
      </c>
      <c r="S34" s="559">
        <f t="shared" si="4"/>
        <v>2665.3199999999997</v>
      </c>
    </row>
    <row r="35" spans="1:19" ht="15" customHeight="1">
      <c r="A35" s="89">
        <f>Tab2b!A32</f>
        <v>24</v>
      </c>
      <c r="B35" s="1740" t="str">
        <f>Tab2b!B32</f>
        <v>Kändude juurimine, ha ühele</v>
      </c>
      <c r="C35" s="1741"/>
      <c r="D35" s="1741"/>
      <c r="E35" s="1741"/>
      <c r="F35" s="1741"/>
      <c r="G35" s="75" t="str">
        <f>Tab2b!G32</f>
        <v>ha</v>
      </c>
      <c r="H35" s="75">
        <f>Tab2b!H32</f>
        <v>0.6</v>
      </c>
      <c r="I35" s="75">
        <f>Tab2b!I32</f>
        <v>0.32999999999999996</v>
      </c>
      <c r="J35" s="75">
        <f>Tab2b!J32</f>
        <v>0.06</v>
      </c>
      <c r="K35" s="233">
        <f>Tab2b!K32</f>
        <v>0.15</v>
      </c>
      <c r="L35" s="573">
        <f t="shared" si="3"/>
        <v>1.1399999999999999</v>
      </c>
      <c r="M35" s="147">
        <v>735</v>
      </c>
      <c r="N35" s="8" t="s">
        <v>760</v>
      </c>
      <c r="O35" s="566">
        <f>$M$35*H35</f>
        <v>441</v>
      </c>
      <c r="P35" s="524">
        <f>$M$35*I35</f>
        <v>242.54999999999998</v>
      </c>
      <c r="Q35" s="524">
        <f>$M$35*J35</f>
        <v>44.1</v>
      </c>
      <c r="R35" s="777">
        <f>$M$35*K35</f>
        <v>110.25</v>
      </c>
      <c r="S35" s="559">
        <f t="shared" si="4"/>
        <v>837.9</v>
      </c>
    </row>
    <row r="36" spans="1:19" s="482" customFormat="1" ht="30" customHeight="1">
      <c r="A36" s="89">
        <f>Tab2b!A33</f>
        <v>25</v>
      </c>
      <c r="B36" s="1734" t="s">
        <v>116</v>
      </c>
      <c r="C36" s="1735"/>
      <c r="D36" s="1735"/>
      <c r="E36" s="1735"/>
      <c r="F36" s="1735"/>
      <c r="G36" s="291" t="str">
        <f>Tab2b!G33</f>
        <v>tk</v>
      </c>
      <c r="H36" s="291">
        <f>Tab2b!H33</f>
        <v>1</v>
      </c>
      <c r="I36" s="291">
        <f>Tab2b!I33</f>
        <v>1</v>
      </c>
      <c r="J36" s="291">
        <f>Tab2b!J33</f>
        <v>1</v>
      </c>
      <c r="K36" s="567">
        <v>1</v>
      </c>
      <c r="L36" s="573">
        <f t="shared" si="3"/>
        <v>4</v>
      </c>
      <c r="M36" s="68"/>
      <c r="N36" s="64"/>
      <c r="O36" s="568"/>
      <c r="P36" s="68"/>
      <c r="Q36" s="68"/>
      <c r="R36" s="64"/>
      <c r="S36" s="563"/>
    </row>
    <row r="37" spans="1:19" ht="30" customHeight="1">
      <c r="A37" s="89">
        <f>Tab2b!A34</f>
        <v>26</v>
      </c>
      <c r="B37" s="1742" t="str">
        <f>Tab2b!B34</f>
        <v>sh mulde ehitamine juurde veetavast mineraalpinnasest, , H=20 cm</v>
      </c>
      <c r="C37" s="1743"/>
      <c r="D37" s="1743"/>
      <c r="E37" s="1743"/>
      <c r="F37" s="1743"/>
      <c r="G37" s="75" t="str">
        <f>Tab2b!G34</f>
        <v>m3</v>
      </c>
      <c r="H37" s="75">
        <f>Tab2b!H34</f>
        <v>75</v>
      </c>
      <c r="I37" s="75">
        <f>Tab2b!I34</f>
        <v>75</v>
      </c>
      <c r="J37" s="75">
        <f>Tab2b!J34</f>
        <v>75</v>
      </c>
      <c r="K37" s="233">
        <f>Tab2b!K34</f>
        <v>75</v>
      </c>
      <c r="L37" s="573">
        <f t="shared" si="3"/>
        <v>300</v>
      </c>
      <c r="M37" s="62">
        <v>2.67</v>
      </c>
      <c r="N37" s="13" t="s">
        <v>756</v>
      </c>
      <c r="O37" s="566">
        <f>$M$37*H37</f>
        <v>200.25</v>
      </c>
      <c r="P37" s="524">
        <f>$M$37*I37</f>
        <v>200.25</v>
      </c>
      <c r="Q37" s="524">
        <f>$M$37*J37</f>
        <v>200.25</v>
      </c>
      <c r="R37" s="777">
        <f>$M$37*K37</f>
        <v>200.25</v>
      </c>
      <c r="S37" s="559">
        <f t="shared" si="4"/>
        <v>801</v>
      </c>
    </row>
    <row r="38" spans="1:19" ht="37.5" customHeight="1">
      <c r="A38" s="89">
        <f>Tab2b!A35</f>
        <v>27</v>
      </c>
      <c r="B38" s="1744" t="str">
        <f>Tab2b!B35</f>
        <v>sh geotekstiili 4. profiil (NGS 4), mitte kootud kangas, laiusega 5,0 m, paigaldamine tihendatud ja profileeritud muldkehale (Ülekatteta maht)</v>
      </c>
      <c r="C38" s="1745"/>
      <c r="D38" s="1745"/>
      <c r="E38" s="1745"/>
      <c r="F38" s="1745"/>
      <c r="G38" s="75" t="str">
        <f>Tab2b!G35</f>
        <v>m2</v>
      </c>
      <c r="H38" s="75">
        <f>Tab2b!H35</f>
        <v>453</v>
      </c>
      <c r="I38" s="75">
        <f>Tab2b!I35</f>
        <v>453</v>
      </c>
      <c r="J38" s="75">
        <f>Tab2b!J35</f>
        <v>453</v>
      </c>
      <c r="K38" s="233">
        <f>Tab2b!K35</f>
        <v>453</v>
      </c>
      <c r="L38" s="573">
        <f t="shared" si="3"/>
        <v>1812</v>
      </c>
      <c r="M38" s="147">
        <v>1.03</v>
      </c>
      <c r="N38" s="8" t="s">
        <v>415</v>
      </c>
      <c r="O38" s="566">
        <f>$M$38*H38</f>
        <v>466.59000000000003</v>
      </c>
      <c r="P38" s="524">
        <f>$M$38*I38</f>
        <v>466.59000000000003</v>
      </c>
      <c r="Q38" s="524">
        <f>$M$38*J38</f>
        <v>466.59000000000003</v>
      </c>
      <c r="R38" s="777">
        <f>$M$38*K38</f>
        <v>466.59000000000003</v>
      </c>
      <c r="S38" s="559">
        <f t="shared" si="4"/>
        <v>1866.3600000000001</v>
      </c>
    </row>
    <row r="39" spans="1:19" ht="30" customHeight="1">
      <c r="A39" s="89">
        <f>Tab2b!A36</f>
        <v>28</v>
      </c>
      <c r="B39" s="1744" t="str">
        <f>Tab2b!B36</f>
        <v>sh kruus fr 0/63 mm (Pos 3), geomeetriline maht koos hanke, pealelaadimise ja veoga, H=30cm</v>
      </c>
      <c r="C39" s="1745"/>
      <c r="D39" s="1745"/>
      <c r="E39" s="1745"/>
      <c r="F39" s="1745"/>
      <c r="G39" s="75" t="str">
        <f>Tab2b!G36</f>
        <v>m3</v>
      </c>
      <c r="H39" s="75">
        <f>Tab2b!H36</f>
        <v>130</v>
      </c>
      <c r="I39" s="75">
        <f>Tab2b!I36</f>
        <v>130</v>
      </c>
      <c r="J39" s="75">
        <f>Tab2b!J36</f>
        <v>130</v>
      </c>
      <c r="K39" s="233">
        <f>Tab2b!K36</f>
        <v>130</v>
      </c>
      <c r="L39" s="573">
        <f t="shared" si="3"/>
        <v>520</v>
      </c>
      <c r="M39" s="607">
        <v>8.02</v>
      </c>
      <c r="N39" s="13" t="s">
        <v>759</v>
      </c>
      <c r="O39" s="566">
        <f>$M$39*H39</f>
        <v>1042.5999999999999</v>
      </c>
      <c r="P39" s="524">
        <f>$M$39*I39</f>
        <v>1042.5999999999999</v>
      </c>
      <c r="Q39" s="524">
        <f>$M$39*J39</f>
        <v>1042.5999999999999</v>
      </c>
      <c r="R39" s="777">
        <f>$M$39*K39</f>
        <v>1042.5999999999999</v>
      </c>
      <c r="S39" s="559">
        <f t="shared" si="4"/>
        <v>4170.3999999999996</v>
      </c>
    </row>
    <row r="40" spans="1:19" ht="30" customHeight="1">
      <c r="A40" s="89">
        <f>Tab2b!A37</f>
        <v>29</v>
      </c>
      <c r="B40" s="1744" t="str">
        <f>Tab2b!B37</f>
        <v>sh kruus fr 0/32 mm (Pos 6), geomeetriline maht koos hanke, pealelaadimise ja veoga, H=10cm</v>
      </c>
      <c r="C40" s="1745"/>
      <c r="D40" s="1745"/>
      <c r="E40" s="1745"/>
      <c r="F40" s="1745"/>
      <c r="G40" s="75" t="str">
        <f>Tab2b!G37</f>
        <v>m3</v>
      </c>
      <c r="H40" s="75">
        <f>Tab2b!H37</f>
        <v>42</v>
      </c>
      <c r="I40" s="75">
        <f>Tab2b!I37</f>
        <v>42</v>
      </c>
      <c r="J40" s="75">
        <f>Tab2b!J37</f>
        <v>42</v>
      </c>
      <c r="K40" s="233">
        <f>Tab2b!K37</f>
        <v>42</v>
      </c>
      <c r="L40" s="573">
        <f t="shared" si="3"/>
        <v>168</v>
      </c>
      <c r="M40" s="147">
        <v>9.42</v>
      </c>
      <c r="N40" s="8" t="s">
        <v>758</v>
      </c>
      <c r="O40" s="566">
        <f>$M$40*H40</f>
        <v>395.64</v>
      </c>
      <c r="P40" s="524">
        <f>$M$40*I40</f>
        <v>395.64</v>
      </c>
      <c r="Q40" s="524">
        <f>$M$40*J40</f>
        <v>395.64</v>
      </c>
      <c r="R40" s="777">
        <f>$M$40*K40</f>
        <v>395.64</v>
      </c>
      <c r="S40" s="559">
        <f t="shared" si="4"/>
        <v>1582.56</v>
      </c>
    </row>
    <row r="41" spans="1:19">
      <c r="A41" s="89">
        <f>Tab2b!A38</f>
        <v>30</v>
      </c>
      <c r="B41" s="1744" t="str">
        <f>Tab2b!B38</f>
        <v>Puittaimestiku likvideerimine,  ha ühele</v>
      </c>
      <c r="C41" s="1745"/>
      <c r="D41" s="1745"/>
      <c r="E41" s="1745"/>
      <c r="F41" s="1745"/>
      <c r="G41" s="75" t="str">
        <f>Tab2b!G38</f>
        <v>ha</v>
      </c>
      <c r="H41" s="75">
        <f>Tab2b!H38</f>
        <v>0.08</v>
      </c>
      <c r="I41" s="75">
        <f>Tab2b!I38</f>
        <v>0.08</v>
      </c>
      <c r="J41" s="75">
        <f>Tab2b!J38</f>
        <v>0.08</v>
      </c>
      <c r="K41" s="233">
        <f>Tab2b!K38</f>
        <v>0.08</v>
      </c>
      <c r="L41" s="773">
        <f t="shared" si="3"/>
        <v>0.32</v>
      </c>
      <c r="M41" s="147">
        <v>2338</v>
      </c>
      <c r="N41" s="8" t="s">
        <v>512</v>
      </c>
      <c r="O41" s="566">
        <f>$M$41*H41</f>
        <v>187.04</v>
      </c>
      <c r="P41" s="524">
        <f>$M$41*I41</f>
        <v>187.04</v>
      </c>
      <c r="Q41" s="524">
        <f>$M$41*J41</f>
        <v>187.04</v>
      </c>
      <c r="R41" s="777">
        <f>$M$41*K41</f>
        <v>187.04</v>
      </c>
      <c r="S41" s="559">
        <f t="shared" si="4"/>
        <v>748.16</v>
      </c>
    </row>
    <row r="42" spans="1:19">
      <c r="A42" s="89">
        <f>Tab2b!A39</f>
        <v>31</v>
      </c>
      <c r="B42" s="1744" t="str">
        <f>Tab2b!B39</f>
        <v>Kändude juurimine, ha ühele</v>
      </c>
      <c r="C42" s="1745"/>
      <c r="D42" s="1745"/>
      <c r="E42" s="1745"/>
      <c r="F42" s="1745"/>
      <c r="G42" s="75" t="str">
        <f>Tab2b!G39</f>
        <v>ha</v>
      </c>
      <c r="H42" s="75">
        <f>Tab2b!H39</f>
        <v>0.08</v>
      </c>
      <c r="I42" s="75">
        <f>Tab2b!I39</f>
        <v>0.08</v>
      </c>
      <c r="J42" s="75">
        <f>Tab2b!J39</f>
        <v>0.08</v>
      </c>
      <c r="K42" s="233">
        <f>Tab2b!K39</f>
        <v>0.08</v>
      </c>
      <c r="L42" s="773">
        <f t="shared" si="3"/>
        <v>0.32</v>
      </c>
      <c r="M42" s="147">
        <v>735</v>
      </c>
      <c r="N42" s="8" t="s">
        <v>760</v>
      </c>
      <c r="O42" s="566">
        <f>$M$42*H42</f>
        <v>58.800000000000004</v>
      </c>
      <c r="P42" s="524">
        <f>$M$42*I42</f>
        <v>58.800000000000004</v>
      </c>
      <c r="Q42" s="524">
        <f>$M$42*J42</f>
        <v>58.800000000000004</v>
      </c>
      <c r="R42" s="777">
        <f>$M$42*K42</f>
        <v>58.800000000000004</v>
      </c>
      <c r="S42" s="559">
        <f t="shared" si="4"/>
        <v>235.20000000000002</v>
      </c>
    </row>
    <row r="43" spans="1:19">
      <c r="A43" s="89">
        <f>Tab2b!A40</f>
        <v>32</v>
      </c>
      <c r="B43" s="1744" t="str">
        <f>Tab2b!B40</f>
        <v>Liiklusmärk nr 221 "Anna teed" paigaldamine</v>
      </c>
      <c r="C43" s="1745"/>
      <c r="D43" s="1745"/>
      <c r="E43" s="1745"/>
      <c r="F43" s="1745"/>
      <c r="G43" s="75" t="str">
        <f>Tab2b!G40</f>
        <v>tk</v>
      </c>
      <c r="H43" s="75">
        <f>Tab2b!H40</f>
        <v>2</v>
      </c>
      <c r="I43" s="75">
        <f>Tab2b!I40</f>
        <v>2</v>
      </c>
      <c r="J43" s="75">
        <f>Tab2b!J40</f>
        <v>2</v>
      </c>
      <c r="K43" s="233">
        <f>Tab2b!K40</f>
        <v>2</v>
      </c>
      <c r="L43" s="573">
        <f t="shared" si="3"/>
        <v>8</v>
      </c>
      <c r="M43" s="138">
        <v>178</v>
      </c>
      <c r="N43" s="140" t="s">
        <v>761</v>
      </c>
      <c r="O43" s="566">
        <f>$M$43*H43</f>
        <v>356</v>
      </c>
      <c r="P43" s="524">
        <f>$M$43*I43</f>
        <v>356</v>
      </c>
      <c r="Q43" s="524">
        <f>$M$43*J43</f>
        <v>356</v>
      </c>
      <c r="R43" s="777">
        <f>$M$43*K43</f>
        <v>356</v>
      </c>
      <c r="S43" s="559">
        <f t="shared" si="4"/>
        <v>1424</v>
      </c>
    </row>
    <row r="44" spans="1:19" ht="15.75">
      <c r="A44" s="89">
        <f>Tab2b!A41</f>
        <v>33</v>
      </c>
      <c r="B44" s="1744" t="str">
        <f>Tab2b!B41</f>
        <v>Lisatahvli nr 644"Tee nimi" paigaldamine</v>
      </c>
      <c r="C44" s="1745"/>
      <c r="D44" s="1745"/>
      <c r="E44" s="1745"/>
      <c r="F44" s="1745"/>
      <c r="G44" s="75" t="str">
        <f>Tab2b!G41</f>
        <v>tk</v>
      </c>
      <c r="H44" s="75">
        <f>Tab2b!H41</f>
        <v>1</v>
      </c>
      <c r="I44" s="75">
        <f>Tab2b!I41</f>
        <v>1</v>
      </c>
      <c r="J44" s="75">
        <f>Tab2b!J41</f>
        <v>1</v>
      </c>
      <c r="K44" s="233">
        <f>Tab2b!K41</f>
        <v>1</v>
      </c>
      <c r="L44" s="573">
        <f t="shared" si="3"/>
        <v>4</v>
      </c>
      <c r="M44" s="138">
        <v>60.7</v>
      </c>
      <c r="N44" s="575">
        <v>782</v>
      </c>
      <c r="O44" s="566">
        <f>$M$44*H44</f>
        <v>60.7</v>
      </c>
      <c r="P44" s="524">
        <f>$M$44*I44</f>
        <v>60.7</v>
      </c>
      <c r="Q44" s="524">
        <f>$M$44*J44</f>
        <v>60.7</v>
      </c>
      <c r="R44" s="777">
        <f>$M$44*K44</f>
        <v>60.7</v>
      </c>
      <c r="S44" s="559">
        <f t="shared" si="4"/>
        <v>242.8</v>
      </c>
    </row>
    <row r="45" spans="1:19" s="482" customFormat="1">
      <c r="A45" s="89">
        <f>Tab2b!A42</f>
        <v>34</v>
      </c>
      <c r="B45" s="1736" t="str">
        <f>Tab2b!B42</f>
        <v>T kujuline tagasipööramise koht  TP-T</v>
      </c>
      <c r="C45" s="1737"/>
      <c r="D45" s="1737"/>
      <c r="E45" s="1737"/>
      <c r="F45" s="1737"/>
      <c r="G45" s="291" t="str">
        <f>Tab2b!G42</f>
        <v>tk</v>
      </c>
      <c r="H45" s="291">
        <f>Tab2b!H42</f>
        <v>1</v>
      </c>
      <c r="I45" s="291">
        <f>Tab2b!I42</f>
        <v>1</v>
      </c>
      <c r="J45" s="291"/>
      <c r="K45" s="327">
        <f>Tab2b!K42</f>
        <v>1</v>
      </c>
      <c r="L45" s="574">
        <f t="shared" si="3"/>
        <v>3</v>
      </c>
      <c r="M45" s="569"/>
      <c r="N45" s="356"/>
      <c r="O45" s="830"/>
      <c r="P45" s="68"/>
      <c r="Q45" s="68"/>
      <c r="R45" s="64"/>
      <c r="S45" s="559"/>
    </row>
    <row r="46" spans="1:19">
      <c r="A46" s="89">
        <f>Tab2b!A43</f>
        <v>35</v>
      </c>
      <c r="B46" s="1754" t="str">
        <f>Tab2b!B43</f>
        <v>sh mulde ehitamine juurde veetavast mineraalpinnasest, H=20 cm</v>
      </c>
      <c r="C46" s="1755"/>
      <c r="D46" s="1755"/>
      <c r="E46" s="1755"/>
      <c r="F46" s="1755"/>
      <c r="G46" s="75" t="str">
        <f>Tab2b!G43</f>
        <v>m3</v>
      </c>
      <c r="H46" s="75">
        <f>Tab2b!H43</f>
        <v>160</v>
      </c>
      <c r="I46" s="75">
        <f>Tab2b!I43</f>
        <v>160</v>
      </c>
      <c r="J46" s="75"/>
      <c r="K46" s="233">
        <f>Tab2b!K43</f>
        <v>160</v>
      </c>
      <c r="L46" s="573">
        <f t="shared" si="3"/>
        <v>480</v>
      </c>
      <c r="M46" s="62">
        <v>2.67</v>
      </c>
      <c r="N46" s="13" t="s">
        <v>756</v>
      </c>
      <c r="O46" s="566">
        <f>$M$46*H46</f>
        <v>427.2</v>
      </c>
      <c r="P46" s="524">
        <f>$M$46*I46</f>
        <v>427.2</v>
      </c>
      <c r="Q46" s="524"/>
      <c r="R46" s="777">
        <f>$M$46*K46</f>
        <v>427.2</v>
      </c>
      <c r="S46" s="559">
        <f t="shared" si="4"/>
        <v>1281.5999999999999</v>
      </c>
    </row>
    <row r="47" spans="1:19" ht="45" customHeight="1">
      <c r="A47" s="89">
        <f>Tab2b!A44</f>
        <v>36</v>
      </c>
      <c r="B47" s="1752" t="str">
        <f>Tab2b!B44</f>
        <v>sh geotekstiili 4. profiil (NGS 4), mitte kootud kangas, laiusega 5,0 m, paigaldamine tihendatud ja profileeritud muldkehale (Ülekatteta maht)</v>
      </c>
      <c r="C47" s="1753"/>
      <c r="D47" s="1753"/>
      <c r="E47" s="1753"/>
      <c r="F47" s="1753"/>
      <c r="G47" s="75" t="str">
        <f>Tab2b!G44</f>
        <v>m2</v>
      </c>
      <c r="H47" s="75">
        <f>Tab2b!H44</f>
        <v>800</v>
      </c>
      <c r="I47" s="75">
        <f>Tab2b!I44</f>
        <v>800</v>
      </c>
      <c r="J47" s="75"/>
      <c r="K47" s="233">
        <f>Tab2b!K44</f>
        <v>800</v>
      </c>
      <c r="L47" s="573">
        <f t="shared" si="3"/>
        <v>2400</v>
      </c>
      <c r="M47" s="147">
        <v>1.03</v>
      </c>
      <c r="N47" s="8" t="s">
        <v>415</v>
      </c>
      <c r="O47" s="566">
        <f>$M$47*H47</f>
        <v>824</v>
      </c>
      <c r="P47" s="524">
        <f>$M$47*I47</f>
        <v>824</v>
      </c>
      <c r="Q47" s="524"/>
      <c r="R47" s="777">
        <f>$M$47*K47</f>
        <v>824</v>
      </c>
      <c r="S47" s="559">
        <f t="shared" si="4"/>
        <v>2472</v>
      </c>
    </row>
    <row r="48" spans="1:19" ht="30" customHeight="1">
      <c r="A48" s="89">
        <f>Tab2b!A45</f>
        <v>37</v>
      </c>
      <c r="B48" s="1752" t="str">
        <f>Tab2b!B45</f>
        <v>sh kruus fr 0/63 mm (Pos 3), geomeetriline maht koos hanke, pealelaadimise ja veoga, H=30cm</v>
      </c>
      <c r="C48" s="1753"/>
      <c r="D48" s="1753"/>
      <c r="E48" s="1753"/>
      <c r="F48" s="1753"/>
      <c r="G48" s="75" t="str">
        <f>Tab2b!G45</f>
        <v>m3</v>
      </c>
      <c r="H48" s="75">
        <f>Tab2b!H45</f>
        <v>225</v>
      </c>
      <c r="I48" s="75">
        <f>Tab2b!I45</f>
        <v>225</v>
      </c>
      <c r="J48" s="75"/>
      <c r="K48" s="233">
        <f>Tab2b!K45</f>
        <v>225</v>
      </c>
      <c r="L48" s="573">
        <f t="shared" si="3"/>
        <v>675</v>
      </c>
      <c r="M48" s="607">
        <v>8.02</v>
      </c>
      <c r="N48" s="13" t="s">
        <v>759</v>
      </c>
      <c r="O48" s="566">
        <f>$M$48*H48</f>
        <v>1804.5</v>
      </c>
      <c r="P48" s="524">
        <f>$M$48*I48</f>
        <v>1804.5</v>
      </c>
      <c r="Q48" s="524"/>
      <c r="R48" s="777">
        <f>$M$48*K48</f>
        <v>1804.5</v>
      </c>
      <c r="S48" s="559">
        <f t="shared" si="4"/>
        <v>5413.5</v>
      </c>
    </row>
    <row r="49" spans="1:19" ht="30" customHeight="1">
      <c r="A49" s="89">
        <f>Tab2b!A46</f>
        <v>38</v>
      </c>
      <c r="B49" s="1752" t="str">
        <f>Tab2b!B46</f>
        <v>sh kruus fr 0/32 mm (Pos 6), geomeetriline maht koos hanke, pealelaadimise ja veoga, H=10cm</v>
      </c>
      <c r="C49" s="1753"/>
      <c r="D49" s="1753"/>
      <c r="E49" s="1753"/>
      <c r="F49" s="1753"/>
      <c r="G49" s="75" t="str">
        <f>Tab2b!G46</f>
        <v>m3</v>
      </c>
      <c r="H49" s="75">
        <f>Tab2b!H46</f>
        <v>70</v>
      </c>
      <c r="I49" s="75">
        <f>Tab2b!I46</f>
        <v>70</v>
      </c>
      <c r="J49" s="607"/>
      <c r="K49" s="75">
        <f>Tab2b!K46</f>
        <v>70</v>
      </c>
      <c r="L49" s="573">
        <f t="shared" si="3"/>
        <v>210</v>
      </c>
      <c r="M49" s="147">
        <v>9.42</v>
      </c>
      <c r="N49" s="8" t="s">
        <v>758</v>
      </c>
      <c r="O49" s="566">
        <f>$M$49*H49</f>
        <v>659.4</v>
      </c>
      <c r="P49" s="524">
        <f>$M$49*I49</f>
        <v>659.4</v>
      </c>
      <c r="Q49" s="524"/>
      <c r="R49" s="524">
        <f>$M$49*K49</f>
        <v>659.4</v>
      </c>
      <c r="S49" s="559">
        <f t="shared" si="4"/>
        <v>1978.1999999999998</v>
      </c>
    </row>
    <row r="50" spans="1:19">
      <c r="A50" s="89">
        <f>Tab2b!A47</f>
        <v>39</v>
      </c>
      <c r="B50" s="1754" t="str">
        <f>Tab2b!B47</f>
        <v>Puittaimestiku likvideerimine,  ha ühele</v>
      </c>
      <c r="C50" s="1755"/>
      <c r="D50" s="1755"/>
      <c r="E50" s="1755"/>
      <c r="F50" s="1755"/>
      <c r="G50" s="75" t="str">
        <f>Tab2b!G47</f>
        <v>ha</v>
      </c>
      <c r="H50" s="75">
        <f>Tab2b!H47</f>
        <v>0.14000000000000001</v>
      </c>
      <c r="I50" s="75">
        <f>Tab2b!I47</f>
        <v>0.14000000000000001</v>
      </c>
      <c r="J50" s="607"/>
      <c r="K50" s="75">
        <f>Tab2b!K47</f>
        <v>0.14000000000000001</v>
      </c>
      <c r="L50" s="773">
        <f t="shared" si="3"/>
        <v>0.42000000000000004</v>
      </c>
      <c r="M50" s="147">
        <v>2338</v>
      </c>
      <c r="N50" s="8" t="s">
        <v>512</v>
      </c>
      <c r="O50" s="566">
        <f>$M$50*H50</f>
        <v>327.32000000000005</v>
      </c>
      <c r="P50" s="524">
        <f>$M$50*I50</f>
        <v>327.32000000000005</v>
      </c>
      <c r="Q50" s="607"/>
      <c r="R50" s="524">
        <f>$M$50*K50</f>
        <v>327.32000000000005</v>
      </c>
      <c r="S50" s="559">
        <f t="shared" si="4"/>
        <v>981.96000000000015</v>
      </c>
    </row>
    <row r="51" spans="1:19" ht="15.75" thickBot="1">
      <c r="A51" s="89">
        <f>Tab2b!A48</f>
        <v>40</v>
      </c>
      <c r="B51" s="1750" t="str">
        <f>Tab2b!B48</f>
        <v>Kändude juurimine, ha ühele</v>
      </c>
      <c r="C51" s="1751"/>
      <c r="D51" s="1751"/>
      <c r="E51" s="1751"/>
      <c r="F51" s="1751"/>
      <c r="G51" s="112" t="str">
        <f>Tab2b!G48</f>
        <v>ha</v>
      </c>
      <c r="H51" s="112">
        <f>Tab2b!H48</f>
        <v>0.14000000000000001</v>
      </c>
      <c r="I51" s="112">
        <f>Tab2b!I48</f>
        <v>0.14000000000000001</v>
      </c>
      <c r="J51" s="624"/>
      <c r="K51" s="112">
        <f>Tab2b!K48</f>
        <v>0.14000000000000001</v>
      </c>
      <c r="L51" s="774">
        <f t="shared" si="3"/>
        <v>0.42000000000000004</v>
      </c>
      <c r="M51" s="6">
        <v>735</v>
      </c>
      <c r="N51" s="4" t="s">
        <v>760</v>
      </c>
      <c r="O51" s="576">
        <f>$M$51*H51</f>
        <v>102.9</v>
      </c>
      <c r="P51" s="577">
        <f>$M$51*I51</f>
        <v>102.9</v>
      </c>
      <c r="Q51" s="624"/>
      <c r="R51" s="577">
        <f>$M$51*K51</f>
        <v>102.9</v>
      </c>
      <c r="S51" s="831">
        <f t="shared" si="4"/>
        <v>308.70000000000005</v>
      </c>
    </row>
    <row r="52" spans="1:19" ht="15.75" thickBot="1">
      <c r="B52" s="1724" t="s">
        <v>161</v>
      </c>
      <c r="C52" s="1724"/>
      <c r="D52" s="1724"/>
      <c r="E52" s="1724"/>
      <c r="F52" s="1724"/>
      <c r="G52" s="1724"/>
      <c r="H52" s="1724"/>
      <c r="I52" s="1724"/>
      <c r="J52" s="1724"/>
      <c r="K52" s="1724"/>
      <c r="L52" s="1724"/>
      <c r="M52" s="1724"/>
      <c r="N52" s="1724"/>
      <c r="O52" s="1724"/>
      <c r="P52" s="1724"/>
      <c r="Q52" s="1724"/>
      <c r="R52" s="1724"/>
      <c r="S52" s="832">
        <f>SUM(S29:S51)</f>
        <v>47349.399999999994</v>
      </c>
    </row>
    <row r="53" spans="1:19" ht="15.75" thickBot="1">
      <c r="A53" s="89">
        <f>Tab2b!A49</f>
        <v>41</v>
      </c>
      <c r="B53" s="1679" t="s">
        <v>120</v>
      </c>
      <c r="C53" s="1679"/>
      <c r="D53" s="1679"/>
      <c r="E53" s="1679"/>
      <c r="F53" s="1679"/>
      <c r="G53" s="1679"/>
      <c r="H53" s="1679"/>
      <c r="I53" s="1679"/>
      <c r="J53" s="1679"/>
      <c r="K53" s="1679"/>
      <c r="L53" s="1679"/>
      <c r="M53" s="1679"/>
      <c r="N53" s="1679"/>
      <c r="O53" s="1679"/>
      <c r="P53" s="1679"/>
      <c r="Q53" s="1679"/>
      <c r="R53" s="1679"/>
      <c r="S53" s="1680"/>
    </row>
    <row r="54" spans="1:19" ht="15.75" thickBot="1">
      <c r="A54" s="89">
        <f>Tab2b!A50</f>
        <v>42</v>
      </c>
      <c r="B54" s="1747" t="s">
        <v>98</v>
      </c>
      <c r="C54" s="1748"/>
      <c r="D54" s="1748"/>
      <c r="E54" s="1748"/>
      <c r="F54" s="1749"/>
      <c r="G54" s="531" t="s">
        <v>99</v>
      </c>
      <c r="H54" s="215">
        <v>1</v>
      </c>
      <c r="I54" s="215">
        <v>1</v>
      </c>
      <c r="J54" s="215">
        <v>1</v>
      </c>
      <c r="K54" s="215">
        <v>1</v>
      </c>
      <c r="L54" s="550">
        <f>SUM(H54:K54)</f>
        <v>4</v>
      </c>
      <c r="M54" s="215">
        <v>1500</v>
      </c>
      <c r="N54" s="215" t="s">
        <v>401</v>
      </c>
      <c r="O54" s="1014">
        <f>$M$54*H54</f>
        <v>1500</v>
      </c>
      <c r="P54" s="1015">
        <f>$M$54*I54</f>
        <v>1500</v>
      </c>
      <c r="Q54" s="1015">
        <f>$M$54*J54</f>
        <v>1500</v>
      </c>
      <c r="R54" s="1016">
        <f>$M$54*K54</f>
        <v>1500</v>
      </c>
      <c r="S54" s="1013">
        <f>SUM(O54:R54)</f>
        <v>6000</v>
      </c>
    </row>
    <row r="55" spans="1:19" ht="15.75" thickBot="1">
      <c r="A55" s="89"/>
      <c r="B55" s="1724" t="s">
        <v>161</v>
      </c>
      <c r="C55" s="1724"/>
      <c r="D55" s="1724"/>
      <c r="E55" s="1724"/>
      <c r="F55" s="1724"/>
      <c r="G55" s="1724"/>
      <c r="H55" s="1724"/>
      <c r="I55" s="1724"/>
      <c r="J55" s="1724"/>
      <c r="K55" s="1724"/>
      <c r="L55" s="1724"/>
      <c r="M55" s="1724"/>
      <c r="N55" s="1724"/>
      <c r="O55" s="1724"/>
      <c r="P55" s="1746"/>
      <c r="Q55" s="1746"/>
      <c r="R55" s="1746"/>
      <c r="S55" s="564">
        <f>SUM(S54)</f>
        <v>6000</v>
      </c>
    </row>
    <row r="56" spans="1:19" ht="15.75" thickBot="1">
      <c r="P56" s="532" t="s">
        <v>410</v>
      </c>
      <c r="Q56" s="533"/>
      <c r="R56" s="534"/>
      <c r="S56" s="565">
        <f>SUM(S55,S52,S27,S19,S12)</f>
        <v>535944.68550000002</v>
      </c>
    </row>
    <row r="57" spans="1:19" ht="15.75" thickBot="1">
      <c r="P57" s="535" t="s">
        <v>418</v>
      </c>
      <c r="Q57" s="536"/>
      <c r="R57" s="537"/>
      <c r="S57" s="817">
        <f>Tab14A!W78</f>
        <v>279192.33849375998</v>
      </c>
    </row>
    <row r="58" spans="1:19" ht="15.75" thickBot="1">
      <c r="P58" s="532" t="s">
        <v>411</v>
      </c>
      <c r="Q58" s="533"/>
      <c r="R58" s="534"/>
      <c r="S58" s="565">
        <f>(S57+S56)*0.22</f>
        <v>179330.1452786272</v>
      </c>
    </row>
    <row r="59" spans="1:19" ht="15.75" thickBot="1">
      <c r="P59" s="538" t="s">
        <v>412</v>
      </c>
      <c r="Q59" s="539"/>
      <c r="R59" s="540"/>
      <c r="S59" s="565">
        <f>S58+S57+S56</f>
        <v>994467.16927238717</v>
      </c>
    </row>
    <row r="67" spans="1:3">
      <c r="A67" s="203"/>
      <c r="B67" s="3"/>
      <c r="C67" s="3"/>
    </row>
    <row r="68" spans="1:3">
      <c r="A68" s="203"/>
      <c r="B68" s="3"/>
      <c r="C68" s="3"/>
    </row>
    <row r="69" spans="1:3">
      <c r="A69" s="45"/>
      <c r="B69" s="3"/>
    </row>
    <row r="70" spans="1:3">
      <c r="A70" s="203"/>
    </row>
    <row r="71" spans="1:3">
      <c r="A71" s="45"/>
      <c r="B71" s="3"/>
    </row>
    <row r="72" spans="1:3">
      <c r="A72" s="45"/>
      <c r="B72" s="52"/>
    </row>
  </sheetData>
  <mergeCells count="61">
    <mergeCell ref="B41:F41"/>
    <mergeCell ref="B42:F42"/>
    <mergeCell ref="B55:R55"/>
    <mergeCell ref="B52:R52"/>
    <mergeCell ref="B53:S53"/>
    <mergeCell ref="B54:F54"/>
    <mergeCell ref="B51:F51"/>
    <mergeCell ref="B47:F47"/>
    <mergeCell ref="B49:F49"/>
    <mergeCell ref="B46:F46"/>
    <mergeCell ref="B48:F48"/>
    <mergeCell ref="B50:F50"/>
    <mergeCell ref="B28:S28"/>
    <mergeCell ref="B36:F36"/>
    <mergeCell ref="B45:F45"/>
    <mergeCell ref="B29:F29"/>
    <mergeCell ref="B30:F30"/>
    <mergeCell ref="B31:F31"/>
    <mergeCell ref="B33:F33"/>
    <mergeCell ref="B34:F34"/>
    <mergeCell ref="B35:F35"/>
    <mergeCell ref="B37:F37"/>
    <mergeCell ref="B38:F38"/>
    <mergeCell ref="B32:F32"/>
    <mergeCell ref="B43:F43"/>
    <mergeCell ref="B44:F44"/>
    <mergeCell ref="B39:F39"/>
    <mergeCell ref="B40:F40"/>
    <mergeCell ref="B20:S20"/>
    <mergeCell ref="B27:R27"/>
    <mergeCell ref="B26:F26"/>
    <mergeCell ref="B21:F21"/>
    <mergeCell ref="B25:F25"/>
    <mergeCell ref="B23:F23"/>
    <mergeCell ref="B24:F24"/>
    <mergeCell ref="B22:F22"/>
    <mergeCell ref="B19:R19"/>
    <mergeCell ref="B7:F7"/>
    <mergeCell ref="B9:S9"/>
    <mergeCell ref="B10:F10"/>
    <mergeCell ref="B11:F11"/>
    <mergeCell ref="B14:F14"/>
    <mergeCell ref="B18:F18"/>
    <mergeCell ref="B16:F16"/>
    <mergeCell ref="B15:F15"/>
    <mergeCell ref="B17:F17"/>
    <mergeCell ref="A3:A6"/>
    <mergeCell ref="B3:F6"/>
    <mergeCell ref="G3:G6"/>
    <mergeCell ref="L3:L6"/>
    <mergeCell ref="B13:S13"/>
    <mergeCell ref="N3:N6"/>
    <mergeCell ref="M3:M6"/>
    <mergeCell ref="H3:K3"/>
    <mergeCell ref="H4:K4"/>
    <mergeCell ref="B8:F8"/>
    <mergeCell ref="O3:S3"/>
    <mergeCell ref="O4:R4"/>
    <mergeCell ref="B12:R12"/>
    <mergeCell ref="O5:P5"/>
    <mergeCell ref="H5:I5"/>
  </mergeCells>
  <phoneticPr fontId="59" type="noConversion"/>
  <pageMargins left="0.51181102362204722" right="0" top="0.74803149606299213" bottom="0.74803149606299213" header="0.31496062992125984" footer="0.31496062992125984"/>
  <pageSetup paperSize="8" scale="8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workbookViewId="0">
      <pane ySplit="1830" topLeftCell="A43" activePane="bottomLeft"/>
      <selection activeCell="Y35" sqref="Y35"/>
      <selection pane="bottomLeft" activeCell="N17" sqref="N17"/>
    </sheetView>
    <sheetView topLeftCell="A52" workbookViewId="1">
      <selection activeCell="P75" sqref="P75"/>
    </sheetView>
  </sheetViews>
  <sheetFormatPr defaultRowHeight="15"/>
  <cols>
    <col min="6" max="6" width="18" customWidth="1"/>
  </cols>
  <sheetData>
    <row r="1" spans="1:15" ht="15.75">
      <c r="A1" s="1" t="s">
        <v>40</v>
      </c>
    </row>
    <row r="2" spans="1:15" ht="15.75" thickBot="1"/>
    <row r="3" spans="1:15">
      <c r="A3" s="1242" t="s">
        <v>41</v>
      </c>
      <c r="B3" s="1245" t="s">
        <v>42</v>
      </c>
      <c r="C3" s="1246"/>
      <c r="D3" s="1246"/>
      <c r="E3" s="1246"/>
      <c r="F3" s="1247"/>
      <c r="G3" s="1250" t="s">
        <v>11</v>
      </c>
      <c r="H3" s="1221" t="s">
        <v>43</v>
      </c>
      <c r="I3" s="1222"/>
      <c r="J3" s="1222"/>
      <c r="K3" s="1222"/>
      <c r="L3" s="1222"/>
      <c r="M3" s="1223"/>
      <c r="N3" s="1265" t="s">
        <v>2</v>
      </c>
      <c r="O3" s="56"/>
    </row>
    <row r="4" spans="1:15" ht="15.75" thickBot="1">
      <c r="A4" s="1243"/>
      <c r="B4" s="1145"/>
      <c r="C4" s="1146"/>
      <c r="D4" s="1146"/>
      <c r="E4" s="1146"/>
      <c r="F4" s="1147"/>
      <c r="G4" s="1251"/>
      <c r="H4" s="1224" t="s">
        <v>44</v>
      </c>
      <c r="I4" s="1225"/>
      <c r="J4" s="1225"/>
      <c r="K4" s="1225"/>
      <c r="L4" s="1225"/>
      <c r="M4" s="1226"/>
      <c r="N4" s="1266"/>
      <c r="O4" s="56"/>
    </row>
    <row r="5" spans="1:15" ht="15.75" thickBot="1">
      <c r="A5" s="1244"/>
      <c r="B5" s="1164"/>
      <c r="C5" s="1248"/>
      <c r="D5" s="1248"/>
      <c r="E5" s="1248"/>
      <c r="F5" s="1249"/>
      <c r="G5" s="1252"/>
      <c r="H5" s="461" t="s">
        <v>8</v>
      </c>
      <c r="I5" s="400" t="s">
        <v>9</v>
      </c>
      <c r="J5" s="461" t="s">
        <v>445</v>
      </c>
      <c r="K5" s="461" t="s">
        <v>444</v>
      </c>
      <c r="L5" s="461" t="s">
        <v>448</v>
      </c>
      <c r="M5" s="461" t="s">
        <v>449</v>
      </c>
      <c r="N5" s="1267"/>
      <c r="O5" s="56"/>
    </row>
    <row r="6" spans="1:15" ht="15.75" thickBot="1">
      <c r="A6" s="57" t="s">
        <v>45</v>
      </c>
      <c r="B6" s="1253" t="s">
        <v>46</v>
      </c>
      <c r="C6" s="1254"/>
      <c r="D6" s="1254"/>
      <c r="E6" s="1254"/>
      <c r="F6" s="1255"/>
      <c r="G6" s="716" t="s">
        <v>47</v>
      </c>
      <c r="H6" s="716" t="s">
        <v>48</v>
      </c>
      <c r="I6" s="716" t="s">
        <v>693</v>
      </c>
      <c r="J6" s="716" t="s">
        <v>50</v>
      </c>
      <c r="K6" s="715" t="s">
        <v>51</v>
      </c>
      <c r="L6" s="715" t="s">
        <v>52</v>
      </c>
      <c r="M6" s="715" t="s">
        <v>53</v>
      </c>
      <c r="N6" s="285" t="s">
        <v>229</v>
      </c>
    </row>
    <row r="7" spans="1:15" ht="15.75" thickBot="1">
      <c r="A7" s="231">
        <v>1</v>
      </c>
      <c r="B7" s="1256" t="s">
        <v>54</v>
      </c>
      <c r="C7" s="1256"/>
      <c r="D7" s="1256"/>
      <c r="E7" s="1256"/>
      <c r="F7" s="1256"/>
      <c r="G7" s="1256"/>
      <c r="H7" s="1256"/>
      <c r="I7" s="1256"/>
      <c r="J7" s="1256"/>
      <c r="K7" s="1256"/>
      <c r="L7" s="1256"/>
      <c r="M7" s="1256"/>
      <c r="N7" s="1256"/>
    </row>
    <row r="8" spans="1:15">
      <c r="A8" s="714">
        <v>2</v>
      </c>
      <c r="B8" s="1229" t="s">
        <v>778</v>
      </c>
      <c r="C8" s="1230"/>
      <c r="D8" s="1230"/>
      <c r="E8" s="1230"/>
      <c r="F8" s="1230"/>
      <c r="G8" s="1004" t="s">
        <v>17</v>
      </c>
      <c r="H8" s="1005"/>
      <c r="I8" s="1005"/>
      <c r="J8" s="1005"/>
      <c r="K8" s="1006">
        <f>'Tab8'!S142</f>
        <v>4.41E-2</v>
      </c>
      <c r="L8" s="1005"/>
      <c r="M8" s="1005"/>
      <c r="N8" s="1007">
        <f>K8</f>
        <v>4.41E-2</v>
      </c>
    </row>
    <row r="9" spans="1:15">
      <c r="A9" s="714">
        <v>3</v>
      </c>
      <c r="B9" s="1231" t="s">
        <v>779</v>
      </c>
      <c r="C9" s="1232"/>
      <c r="D9" s="1232"/>
      <c r="E9" s="1232"/>
      <c r="F9" s="1232"/>
      <c r="G9" s="717" t="s">
        <v>17</v>
      </c>
      <c r="H9" s="718"/>
      <c r="I9" s="718"/>
      <c r="J9" s="718"/>
      <c r="K9" s="719">
        <f>K8</f>
        <v>4.41E-2</v>
      </c>
      <c r="L9" s="718"/>
      <c r="M9" s="718"/>
      <c r="N9" s="1008">
        <f>K9</f>
        <v>4.41E-2</v>
      </c>
    </row>
    <row r="10" spans="1:15">
      <c r="A10" s="54">
        <v>4</v>
      </c>
      <c r="B10" s="1227" t="s">
        <v>55</v>
      </c>
      <c r="C10" s="1228"/>
      <c r="D10" s="1228"/>
      <c r="E10" s="1228"/>
      <c r="F10" s="1228"/>
      <c r="G10" s="62" t="s">
        <v>17</v>
      </c>
      <c r="H10" s="15">
        <f>'Tab8'!T25</f>
        <v>1.2888999999999999</v>
      </c>
      <c r="I10" s="15">
        <f>'Tab8'!T36</f>
        <v>0.39600000000000002</v>
      </c>
      <c r="J10" s="15">
        <f>'Tab8'!T71</f>
        <v>3.6920999999999995</v>
      </c>
      <c r="K10" s="17">
        <f>'Tab8'!T137</f>
        <v>1.5859000000000001</v>
      </c>
      <c r="L10" s="17">
        <f>'Tab8'!T152</f>
        <v>0.15279999999999999</v>
      </c>
      <c r="M10" s="17">
        <f>'Tab8'!T166</f>
        <v>0.2656</v>
      </c>
      <c r="N10" s="63">
        <f t="shared" ref="N10:N18" si="0">SUM(H10:M10)</f>
        <v>7.3812999999999995</v>
      </c>
    </row>
    <row r="11" spans="1:15">
      <c r="A11" s="54">
        <v>5</v>
      </c>
      <c r="B11" s="1227" t="s">
        <v>56</v>
      </c>
      <c r="C11" s="1228"/>
      <c r="D11" s="1228"/>
      <c r="E11" s="1228"/>
      <c r="F11" s="1228"/>
      <c r="G11" s="62" t="s">
        <v>17</v>
      </c>
      <c r="H11" s="15">
        <f t="shared" ref="H11:K11" si="1">H10</f>
        <v>1.2888999999999999</v>
      </c>
      <c r="I11" s="15">
        <f>I10</f>
        <v>0.39600000000000002</v>
      </c>
      <c r="J11" s="15">
        <f t="shared" si="1"/>
        <v>3.6920999999999995</v>
      </c>
      <c r="K11" s="17">
        <f t="shared" si="1"/>
        <v>1.5859000000000001</v>
      </c>
      <c r="L11" s="17">
        <f>L10</f>
        <v>0.15279999999999999</v>
      </c>
      <c r="M11" s="17">
        <f>M10</f>
        <v>0.2656</v>
      </c>
      <c r="N11" s="63">
        <f t="shared" si="0"/>
        <v>7.3812999999999995</v>
      </c>
    </row>
    <row r="12" spans="1:15">
      <c r="A12" s="54">
        <v>6</v>
      </c>
      <c r="B12" s="1227" t="s">
        <v>57</v>
      </c>
      <c r="C12" s="1228"/>
      <c r="D12" s="1228"/>
      <c r="E12" s="1228"/>
      <c r="F12" s="1228"/>
      <c r="G12" s="62" t="s">
        <v>17</v>
      </c>
      <c r="H12" s="15">
        <f>'Tab8'!U25</f>
        <v>1.6764000000000001</v>
      </c>
      <c r="I12" s="15"/>
      <c r="J12" s="15">
        <f>'Tab8'!U71</f>
        <v>1.1240999999999999</v>
      </c>
      <c r="K12" s="17">
        <f>'Tab8'!U137</f>
        <v>3.8390999999999997</v>
      </c>
      <c r="L12" s="17">
        <f>'Tab8'!U152</f>
        <v>0.4284</v>
      </c>
      <c r="M12" s="17">
        <f>'Tab8'!U166</f>
        <v>0.45689999999999997</v>
      </c>
      <c r="N12" s="63">
        <f t="shared" si="0"/>
        <v>7.5248999999999997</v>
      </c>
    </row>
    <row r="13" spans="1:15">
      <c r="A13" s="54">
        <v>7</v>
      </c>
      <c r="B13" s="1227" t="s">
        <v>58</v>
      </c>
      <c r="C13" s="1228"/>
      <c r="D13" s="1228"/>
      <c r="E13" s="1228"/>
      <c r="F13" s="1228"/>
      <c r="G13" s="62" t="s">
        <v>17</v>
      </c>
      <c r="H13" s="15">
        <f t="shared" ref="H13:K13" si="2">H12</f>
        <v>1.6764000000000001</v>
      </c>
      <c r="I13" s="15"/>
      <c r="J13" s="15">
        <f t="shared" si="2"/>
        <v>1.1240999999999999</v>
      </c>
      <c r="K13" s="17">
        <f t="shared" si="2"/>
        <v>3.8390999999999997</v>
      </c>
      <c r="L13" s="17">
        <f>L12</f>
        <v>0.4284</v>
      </c>
      <c r="M13" s="17">
        <f>M12</f>
        <v>0.45689999999999997</v>
      </c>
      <c r="N13" s="63">
        <f t="shared" si="0"/>
        <v>7.5248999999999997</v>
      </c>
    </row>
    <row r="14" spans="1:15">
      <c r="A14" s="54">
        <v>8</v>
      </c>
      <c r="B14" s="1227" t="s">
        <v>59</v>
      </c>
      <c r="C14" s="1228"/>
      <c r="D14" s="1228"/>
      <c r="E14" s="1228"/>
      <c r="F14" s="1228"/>
      <c r="G14" s="62" t="s">
        <v>17</v>
      </c>
      <c r="H14" s="15">
        <f>'Tab8'!V25</f>
        <v>2.7800000000000002</v>
      </c>
      <c r="I14" s="15">
        <f>'Tab8'!V36</f>
        <v>0.13200000000000001</v>
      </c>
      <c r="J14" s="15">
        <f>'Tab8'!V71</f>
        <v>9.7312999999999974</v>
      </c>
      <c r="K14" s="17">
        <f>'Tab8'!V137</f>
        <v>1.1560000000000001</v>
      </c>
      <c r="L14" s="149"/>
      <c r="M14" s="149"/>
      <c r="N14" s="63">
        <f t="shared" si="0"/>
        <v>13.799299999999999</v>
      </c>
    </row>
    <row r="15" spans="1:15">
      <c r="A15" s="54">
        <v>9</v>
      </c>
      <c r="B15" s="1227" t="s">
        <v>60</v>
      </c>
      <c r="C15" s="1228"/>
      <c r="D15" s="1228"/>
      <c r="E15" s="1228"/>
      <c r="F15" s="1228"/>
      <c r="G15" s="62" t="s">
        <v>17</v>
      </c>
      <c r="H15" s="15">
        <f t="shared" ref="H15:K15" si="3">H14</f>
        <v>2.7800000000000002</v>
      </c>
      <c r="I15" s="15">
        <f>I14</f>
        <v>0.13200000000000001</v>
      </c>
      <c r="J15" s="15">
        <f t="shared" si="3"/>
        <v>9.7312999999999974</v>
      </c>
      <c r="K15" s="17">
        <f t="shared" si="3"/>
        <v>1.1560000000000001</v>
      </c>
      <c r="L15" s="149"/>
      <c r="M15" s="149"/>
      <c r="N15" s="63">
        <f t="shared" si="0"/>
        <v>13.799299999999999</v>
      </c>
    </row>
    <row r="16" spans="1:15" ht="30" customHeight="1">
      <c r="A16" s="54">
        <v>10</v>
      </c>
      <c r="B16" s="1227" t="s">
        <v>61</v>
      </c>
      <c r="C16" s="1228"/>
      <c r="D16" s="1228"/>
      <c r="E16" s="1228"/>
      <c r="F16" s="1228"/>
      <c r="G16" s="62" t="s">
        <v>17</v>
      </c>
      <c r="H16" s="15">
        <f>'Tab8'!X25</f>
        <v>5.7453000000000003</v>
      </c>
      <c r="I16" s="15">
        <f>'Tab8'!X36</f>
        <v>0.52800000000000002</v>
      </c>
      <c r="J16" s="15">
        <f>'Tab8'!X71</f>
        <v>14.547500000000001</v>
      </c>
      <c r="K16" s="17">
        <f>'Tab8'!X137</f>
        <v>6.6251000000000007</v>
      </c>
      <c r="L16" s="17">
        <f>'Tab8'!X152</f>
        <v>0.58120000000000005</v>
      </c>
      <c r="M16" s="17">
        <f>'Tab8'!X166</f>
        <v>0.72250000000000003</v>
      </c>
      <c r="N16" s="63">
        <f t="shared" si="0"/>
        <v>28.749600000000001</v>
      </c>
    </row>
    <row r="17" spans="1:14">
      <c r="A17" s="54">
        <v>11</v>
      </c>
      <c r="B17" s="1227" t="s">
        <v>62</v>
      </c>
      <c r="C17" s="1228"/>
      <c r="D17" s="1228"/>
      <c r="E17" s="1228"/>
      <c r="F17" s="1228"/>
      <c r="G17" s="62" t="s">
        <v>63</v>
      </c>
      <c r="H17" s="62">
        <f>'Tab8'!AB25</f>
        <v>17</v>
      </c>
      <c r="I17" s="62"/>
      <c r="J17" s="62">
        <f>'Tab8'!AB71</f>
        <v>65</v>
      </c>
      <c r="K17" s="28">
        <f>'Tab8'!AB137</f>
        <v>58</v>
      </c>
      <c r="L17" s="149"/>
      <c r="M17" s="149"/>
      <c r="N17" s="64">
        <f t="shared" si="0"/>
        <v>140</v>
      </c>
    </row>
    <row r="18" spans="1:14">
      <c r="A18" s="54">
        <v>12</v>
      </c>
      <c r="B18" s="1227" t="s">
        <v>64</v>
      </c>
      <c r="C18" s="1228"/>
      <c r="D18" s="1228"/>
      <c r="E18" s="1228"/>
      <c r="F18" s="1228"/>
      <c r="G18" s="62" t="s">
        <v>20</v>
      </c>
      <c r="H18" s="848">
        <f>'Tab8'!AA25</f>
        <v>0.79800000000000004</v>
      </c>
      <c r="I18" s="62"/>
      <c r="J18" s="15">
        <f>'Tab8'!AA71</f>
        <v>0.32600000000000001</v>
      </c>
      <c r="K18" s="149"/>
      <c r="L18" s="149"/>
      <c r="M18" s="149"/>
      <c r="N18" s="63">
        <f t="shared" si="0"/>
        <v>1.1240000000000001</v>
      </c>
    </row>
    <row r="19" spans="1:14" ht="15.75" thickBot="1">
      <c r="A19" s="54">
        <v>13</v>
      </c>
      <c r="B19" s="1257" t="s">
        <v>66</v>
      </c>
      <c r="C19" s="1258"/>
      <c r="D19" s="1258"/>
      <c r="E19" s="1258"/>
      <c r="F19" s="1258"/>
      <c r="G19" s="65" t="s">
        <v>24</v>
      </c>
      <c r="H19" s="65"/>
      <c r="I19" s="65"/>
      <c r="J19" s="65"/>
      <c r="K19" s="40"/>
      <c r="L19" s="40"/>
      <c r="M19" s="40"/>
      <c r="N19" s="72"/>
    </row>
    <row r="20" spans="1:14">
      <c r="A20" s="54">
        <v>1</v>
      </c>
      <c r="B20" s="1259" t="s">
        <v>67</v>
      </c>
      <c r="C20" s="1260"/>
      <c r="D20" s="1260"/>
      <c r="E20" s="1260"/>
      <c r="F20" s="1260"/>
      <c r="G20" s="1260"/>
      <c r="H20" s="1260"/>
      <c r="I20" s="1260"/>
      <c r="J20" s="1260"/>
      <c r="K20" s="1261"/>
      <c r="L20" s="1261"/>
      <c r="M20" s="1261"/>
      <c r="N20" s="1262"/>
    </row>
    <row r="21" spans="1:14">
      <c r="A21" s="54">
        <v>2</v>
      </c>
      <c r="B21" s="1263" t="s">
        <v>68</v>
      </c>
      <c r="C21" s="1264"/>
      <c r="D21" s="1264"/>
      <c r="E21" s="1264"/>
      <c r="F21" s="1264"/>
      <c r="G21" s="62" t="s">
        <v>65</v>
      </c>
      <c r="H21" s="68"/>
      <c r="I21" s="68"/>
      <c r="J21" s="62"/>
      <c r="K21" s="149">
        <f>'Tab8'!F139</f>
        <v>6052</v>
      </c>
      <c r="L21" s="149">
        <f>'Tab8'!F154</f>
        <v>862</v>
      </c>
      <c r="M21" s="149">
        <f>'Tab8'!F168+'Tab8'!F169</f>
        <v>345</v>
      </c>
      <c r="N21" s="69">
        <f t="shared" ref="N21:N28" si="4">SUM(H21:M21)</f>
        <v>7259</v>
      </c>
    </row>
    <row r="22" spans="1:14">
      <c r="A22" s="54">
        <v>3</v>
      </c>
      <c r="B22" s="1263" t="s">
        <v>69</v>
      </c>
      <c r="C22" s="1264"/>
      <c r="D22" s="1264"/>
      <c r="E22" s="1264"/>
      <c r="F22" s="1264"/>
      <c r="G22" s="62" t="s">
        <v>63</v>
      </c>
      <c r="H22" s="20">
        <f>'Tab8'!K25</f>
        <v>7335.7000000000007</v>
      </c>
      <c r="I22" s="20">
        <f>'Tab8'!K36</f>
        <v>704</v>
      </c>
      <c r="J22" s="20">
        <f>'Tab8'!K71</f>
        <v>21331.600000000002</v>
      </c>
      <c r="K22" s="28">
        <f>'Tab8'!K137</f>
        <v>13732.34</v>
      </c>
      <c r="L22" s="28">
        <f>'Tab8'!K152</f>
        <v>1176.4699999999998</v>
      </c>
      <c r="M22" s="28">
        <f>'Tab8'!K166</f>
        <v>491.46999999999997</v>
      </c>
      <c r="N22" s="69">
        <f t="shared" si="4"/>
        <v>44771.58</v>
      </c>
    </row>
    <row r="23" spans="1:14" ht="30" customHeight="1">
      <c r="A23" s="54">
        <v>4</v>
      </c>
      <c r="B23" s="1233" t="s">
        <v>70</v>
      </c>
      <c r="C23" s="1234"/>
      <c r="D23" s="1234"/>
      <c r="E23" s="1234"/>
      <c r="F23" s="1234"/>
      <c r="G23" s="62" t="s">
        <v>63</v>
      </c>
      <c r="H23" s="20">
        <f>(SUM(H22:H22)*0.1)</f>
        <v>733.57000000000016</v>
      </c>
      <c r="I23" s="20">
        <f>I22*0.1</f>
        <v>70.400000000000006</v>
      </c>
      <c r="J23" s="20">
        <f>(SUM(J22:J22)*0.1)</f>
        <v>2133.1600000000003</v>
      </c>
      <c r="K23" s="28">
        <f>K22*0.1</f>
        <v>1373.2340000000002</v>
      </c>
      <c r="L23" s="28">
        <f>L22*0.1</f>
        <v>117.64699999999999</v>
      </c>
      <c r="M23" s="28">
        <f>M22*0.1</f>
        <v>49.146999999999998</v>
      </c>
      <c r="N23" s="69">
        <f t="shared" si="4"/>
        <v>4477.1580000000004</v>
      </c>
    </row>
    <row r="24" spans="1:14" ht="29.25" customHeight="1">
      <c r="A24" s="54">
        <v>5</v>
      </c>
      <c r="B24" s="1233" t="s">
        <v>71</v>
      </c>
      <c r="C24" s="1234"/>
      <c r="D24" s="1234"/>
      <c r="E24" s="1234"/>
      <c r="F24" s="1234"/>
      <c r="G24" s="62" t="s">
        <v>63</v>
      </c>
      <c r="H24" s="20"/>
      <c r="I24" s="20"/>
      <c r="J24" s="20">
        <f>'Tab8'!F74*0.15</f>
        <v>49.5</v>
      </c>
      <c r="K24" s="28">
        <f>('Tab8'!F138+'Tab8'!F139)*0.15</f>
        <v>1398.3</v>
      </c>
      <c r="L24" s="28">
        <f>('Tab8'!F153+'Tab8'!F154)*0.15</f>
        <v>141.29999999999998</v>
      </c>
      <c r="M24" s="28">
        <f>('Tab8'!F167+'Tab8'!F168+'Tab8'!F169)*0.15</f>
        <v>90.6</v>
      </c>
      <c r="N24" s="69">
        <f t="shared" si="4"/>
        <v>1679.6999999999998</v>
      </c>
    </row>
    <row r="25" spans="1:14">
      <c r="A25" s="54">
        <v>6</v>
      </c>
      <c r="B25" s="1233" t="s">
        <v>72</v>
      </c>
      <c r="C25" s="1234"/>
      <c r="D25" s="1234"/>
      <c r="E25" s="1234"/>
      <c r="F25" s="1234"/>
      <c r="G25" s="62" t="s">
        <v>63</v>
      </c>
      <c r="H25" s="20">
        <f>SUM(H22:H22)*0.6</f>
        <v>4401.42</v>
      </c>
      <c r="I25" s="20">
        <f>'Tab8'!P36</f>
        <v>422.4</v>
      </c>
      <c r="J25" s="20">
        <f>SUM(J22:J22)*0.6</f>
        <v>12798.960000000001</v>
      </c>
      <c r="K25" s="28">
        <f>'Tab8'!P137</f>
        <v>5632.6059999999998</v>
      </c>
      <c r="L25" s="28">
        <f>'Tab8'!P152</f>
        <v>299.59800000000001</v>
      </c>
      <c r="M25" s="28">
        <f>'Tab8'!P166</f>
        <v>171.89999999999998</v>
      </c>
      <c r="N25" s="69">
        <f t="shared" si="4"/>
        <v>23726.884000000002</v>
      </c>
    </row>
    <row r="26" spans="1:14">
      <c r="A26" s="54">
        <v>7</v>
      </c>
      <c r="B26" s="1233" t="s">
        <v>73</v>
      </c>
      <c r="C26" s="1234"/>
      <c r="D26" s="1234"/>
      <c r="E26" s="1234"/>
      <c r="F26" s="1234"/>
      <c r="G26" s="62" t="s">
        <v>63</v>
      </c>
      <c r="H26" s="62">
        <f>'Tab8'!Q25</f>
        <v>1484</v>
      </c>
      <c r="I26" s="62"/>
      <c r="J26" s="62"/>
      <c r="K26" s="149"/>
      <c r="L26" s="149"/>
      <c r="M26" s="149"/>
      <c r="N26" s="69">
        <f t="shared" si="4"/>
        <v>1484</v>
      </c>
    </row>
    <row r="27" spans="1:14">
      <c r="A27" s="54">
        <v>8</v>
      </c>
      <c r="B27" s="1239" t="s">
        <v>743</v>
      </c>
      <c r="C27" s="1240"/>
      <c r="D27" s="1240"/>
      <c r="E27" s="1240"/>
      <c r="F27" s="1241"/>
      <c r="G27" s="62" t="s">
        <v>63</v>
      </c>
      <c r="H27" s="62"/>
      <c r="I27" s="62"/>
      <c r="J27" s="62"/>
      <c r="K27" s="28">
        <f>'Tab8'!R137</f>
        <v>4346.2299999999996</v>
      </c>
      <c r="L27" s="28">
        <f>'Tab8'!R152</f>
        <v>559.53</v>
      </c>
      <c r="M27" s="28">
        <f>'Tab8'!R166</f>
        <v>204.96999999999997</v>
      </c>
      <c r="N27" s="69">
        <f t="shared" si="4"/>
        <v>5110.7299999999996</v>
      </c>
    </row>
    <row r="28" spans="1:14" ht="30" customHeight="1">
      <c r="A28" s="54">
        <v>9</v>
      </c>
      <c r="B28" s="1233" t="s">
        <v>74</v>
      </c>
      <c r="C28" s="1234"/>
      <c r="D28" s="1234"/>
      <c r="E28" s="1234"/>
      <c r="F28" s="1234"/>
      <c r="G28" s="62" t="s">
        <v>24</v>
      </c>
      <c r="H28" s="62">
        <f>'Tab8'!AC25</f>
        <v>16</v>
      </c>
      <c r="I28" s="62">
        <f>'Tab8'!AC36</f>
        <v>1</v>
      </c>
      <c r="J28" s="62">
        <f>'Tab8'!AC71</f>
        <v>22</v>
      </c>
      <c r="K28" s="149"/>
      <c r="L28" s="149"/>
      <c r="M28" s="149"/>
      <c r="N28" s="69">
        <f t="shared" si="4"/>
        <v>39</v>
      </c>
    </row>
    <row r="29" spans="1:14">
      <c r="A29" s="54">
        <v>1</v>
      </c>
      <c r="B29" s="1235" t="s">
        <v>75</v>
      </c>
      <c r="C29" s="1236"/>
      <c r="D29" s="1236"/>
      <c r="E29" s="1236"/>
      <c r="F29" s="1236"/>
      <c r="G29" s="1236"/>
      <c r="H29" s="1236"/>
      <c r="I29" s="1236"/>
      <c r="J29" s="1236"/>
      <c r="K29" s="1237"/>
      <c r="L29" s="1237"/>
      <c r="M29" s="1237"/>
      <c r="N29" s="1238"/>
    </row>
    <row r="30" spans="1:14">
      <c r="A30" s="54">
        <v>2</v>
      </c>
      <c r="B30" s="1201" t="s">
        <v>76</v>
      </c>
      <c r="C30" s="1202"/>
      <c r="D30" s="1202"/>
      <c r="E30" s="1202"/>
      <c r="F30" s="1202"/>
      <c r="G30" s="62" t="s">
        <v>24</v>
      </c>
      <c r="H30" s="62">
        <f>'Tab10'!D18</f>
        <v>4</v>
      </c>
      <c r="I30" s="62"/>
      <c r="J30" s="62">
        <f>'Tab10'!F18</f>
        <v>5</v>
      </c>
      <c r="K30" s="149">
        <f>'Tab10'!G18</f>
        <v>27</v>
      </c>
      <c r="L30" s="149">
        <f>'Tab10'!H18</f>
        <v>5</v>
      </c>
      <c r="M30" s="149">
        <f>'Tab10'!I18</f>
        <v>3</v>
      </c>
      <c r="N30" s="69">
        <f t="shared" ref="N30:N47" si="5">SUM(H30:M30)</f>
        <v>44</v>
      </c>
    </row>
    <row r="31" spans="1:14" ht="30" customHeight="1">
      <c r="A31" s="54">
        <v>3</v>
      </c>
      <c r="B31" s="1270" t="s">
        <v>735</v>
      </c>
      <c r="C31" s="1271"/>
      <c r="D31" s="1271"/>
      <c r="E31" s="1271"/>
      <c r="F31" s="1272"/>
      <c r="G31" s="62" t="s">
        <v>65</v>
      </c>
      <c r="H31" s="62">
        <f>'Tab10'!D20</f>
        <v>30</v>
      </c>
      <c r="I31" s="62"/>
      <c r="J31" s="62">
        <f>'Tab10'!F20</f>
        <v>40</v>
      </c>
      <c r="K31" s="62">
        <f>'Tab10'!G20</f>
        <v>247</v>
      </c>
      <c r="L31" s="62">
        <f>'Tab10'!H20</f>
        <v>50</v>
      </c>
      <c r="M31" s="62">
        <f>'Tab10'!I20</f>
        <v>30</v>
      </c>
      <c r="N31" s="69">
        <f t="shared" si="5"/>
        <v>397</v>
      </c>
    </row>
    <row r="32" spans="1:14" ht="30" customHeight="1">
      <c r="A32" s="54">
        <v>4</v>
      </c>
      <c r="B32" s="1270" t="s">
        <v>77</v>
      </c>
      <c r="C32" s="1271"/>
      <c r="D32" s="1271"/>
      <c r="E32" s="1271"/>
      <c r="F32" s="1272"/>
      <c r="G32" s="62" t="s">
        <v>65</v>
      </c>
      <c r="H32" s="62">
        <f>'Tab10'!D21</f>
        <v>10</v>
      </c>
      <c r="I32" s="62"/>
      <c r="J32" s="62"/>
      <c r="L32" s="62"/>
      <c r="M32" s="62"/>
      <c r="N32" s="69">
        <f t="shared" si="5"/>
        <v>10</v>
      </c>
    </row>
    <row r="33" spans="1:15" ht="30" customHeight="1">
      <c r="A33" s="54">
        <v>5</v>
      </c>
      <c r="B33" s="1231" t="s">
        <v>78</v>
      </c>
      <c r="C33" s="1232"/>
      <c r="D33" s="1232"/>
      <c r="E33" s="1232"/>
      <c r="F33" s="1232"/>
      <c r="G33" s="62" t="s">
        <v>65</v>
      </c>
      <c r="H33" s="62"/>
      <c r="I33" s="62"/>
      <c r="J33" s="62">
        <f>'Tab10'!F22</f>
        <v>10</v>
      </c>
      <c r="K33" s="62">
        <f>'Tab10'!G22</f>
        <v>12</v>
      </c>
      <c r="L33" s="62"/>
      <c r="M33" s="62"/>
      <c r="N33" s="69">
        <f t="shared" si="5"/>
        <v>22</v>
      </c>
    </row>
    <row r="34" spans="1:15" ht="30" customHeight="1" thickBot="1">
      <c r="A34" s="1045">
        <v>6</v>
      </c>
      <c r="B34" s="1219" t="s">
        <v>79</v>
      </c>
      <c r="C34" s="1220"/>
      <c r="D34" s="1220"/>
      <c r="E34" s="1220"/>
      <c r="F34" s="1220"/>
      <c r="G34" s="65" t="s">
        <v>65</v>
      </c>
      <c r="H34" s="65"/>
      <c r="I34" s="65"/>
      <c r="J34" s="65"/>
      <c r="K34" s="65">
        <f>'Tab10'!G23</f>
        <v>12</v>
      </c>
      <c r="L34" s="65"/>
      <c r="M34" s="65"/>
      <c r="N34" s="72">
        <f t="shared" si="5"/>
        <v>12</v>
      </c>
    </row>
    <row r="35" spans="1:15" ht="30" customHeight="1">
      <c r="A35" s="1045">
        <v>7</v>
      </c>
      <c r="B35" s="1273" t="s">
        <v>736</v>
      </c>
      <c r="C35" s="1274"/>
      <c r="D35" s="1274"/>
      <c r="E35" s="1274"/>
      <c r="F35" s="1274"/>
      <c r="G35" s="147" t="s">
        <v>81</v>
      </c>
      <c r="H35" s="147">
        <f>'Tab10'!D26</f>
        <v>2</v>
      </c>
      <c r="I35" s="147"/>
      <c r="J35" s="147">
        <f>'Tab10'!F26</f>
        <v>4</v>
      </c>
      <c r="K35" s="147"/>
      <c r="L35" s="147"/>
      <c r="M35" s="147"/>
      <c r="N35" s="518">
        <f t="shared" si="5"/>
        <v>6</v>
      </c>
    </row>
    <row r="36" spans="1:15" ht="30" customHeight="1">
      <c r="A36" s="1045">
        <v>8</v>
      </c>
      <c r="B36" s="1231" t="s">
        <v>80</v>
      </c>
      <c r="C36" s="1232"/>
      <c r="D36" s="1232"/>
      <c r="E36" s="1232"/>
      <c r="F36" s="1232"/>
      <c r="G36" s="62" t="s">
        <v>81</v>
      </c>
      <c r="H36" s="62">
        <f>'Tab10'!D29</f>
        <v>1</v>
      </c>
      <c r="I36" s="62"/>
      <c r="J36" s="62"/>
      <c r="K36" s="62"/>
      <c r="L36" s="62"/>
      <c r="M36" s="62"/>
      <c r="N36" s="69">
        <f t="shared" si="5"/>
        <v>1</v>
      </c>
      <c r="O36" s="70"/>
    </row>
    <row r="37" spans="1:15" ht="30" customHeight="1">
      <c r="A37" s="1045">
        <v>9</v>
      </c>
      <c r="B37" s="1268" t="s">
        <v>737</v>
      </c>
      <c r="C37" s="1269"/>
      <c r="D37" s="1269"/>
      <c r="E37" s="1269"/>
      <c r="F37" s="1269"/>
      <c r="G37" s="62" t="s">
        <v>81</v>
      </c>
      <c r="H37" s="62">
        <f>'Tab10'!D27</f>
        <v>1</v>
      </c>
      <c r="I37" s="62"/>
      <c r="J37" s="62"/>
      <c r="K37" s="62">
        <f>'Tab10'!G27</f>
        <v>18</v>
      </c>
      <c r="L37" s="62">
        <f>'Tab10'!H27</f>
        <v>2</v>
      </c>
      <c r="M37" s="62">
        <f>'Tab10'!I27</f>
        <v>2</v>
      </c>
      <c r="N37" s="69">
        <f t="shared" si="5"/>
        <v>23</v>
      </c>
      <c r="O37" s="70"/>
    </row>
    <row r="38" spans="1:15" ht="30" customHeight="1">
      <c r="A38" s="1045">
        <v>10</v>
      </c>
      <c r="B38" s="1268" t="s">
        <v>82</v>
      </c>
      <c r="C38" s="1269"/>
      <c r="D38" s="1269"/>
      <c r="E38" s="1269"/>
      <c r="F38" s="1269"/>
      <c r="G38" s="62" t="s">
        <v>81</v>
      </c>
      <c r="H38" s="62"/>
      <c r="I38" s="62"/>
      <c r="J38" s="62">
        <f>'Tab10'!F31</f>
        <v>1</v>
      </c>
      <c r="K38" s="62"/>
      <c r="L38" s="62"/>
      <c r="M38" s="62"/>
      <c r="N38" s="69">
        <f t="shared" si="5"/>
        <v>1</v>
      </c>
    </row>
    <row r="39" spans="1:15" ht="30" customHeight="1">
      <c r="A39" s="1045">
        <v>11</v>
      </c>
      <c r="B39" s="1231" t="s">
        <v>738</v>
      </c>
      <c r="C39" s="1232"/>
      <c r="D39" s="1232"/>
      <c r="E39" s="1232"/>
      <c r="F39" s="1232"/>
      <c r="G39" s="62" t="s">
        <v>81</v>
      </c>
      <c r="H39" s="62"/>
      <c r="I39" s="62"/>
      <c r="J39" s="62"/>
      <c r="K39" s="62">
        <f>'Tab10'!G28</f>
        <v>7</v>
      </c>
      <c r="L39" s="62">
        <f>'Tab10'!H28</f>
        <v>3</v>
      </c>
      <c r="M39" s="62">
        <f>'Tab10'!I28</f>
        <v>1</v>
      </c>
      <c r="N39" s="69">
        <f t="shared" si="5"/>
        <v>11</v>
      </c>
    </row>
    <row r="40" spans="1:15" ht="30" customHeight="1">
      <c r="A40" s="1045">
        <v>12</v>
      </c>
      <c r="B40" s="1231" t="s">
        <v>886</v>
      </c>
      <c r="C40" s="1232"/>
      <c r="D40" s="1232"/>
      <c r="E40" s="1232"/>
      <c r="F40" s="1232"/>
      <c r="G40" s="62" t="s">
        <v>81</v>
      </c>
      <c r="H40" s="62"/>
      <c r="I40" s="62"/>
      <c r="J40" s="62"/>
      <c r="K40" s="62">
        <f>'Tab10'!G30</f>
        <v>1</v>
      </c>
      <c r="L40" s="62"/>
      <c r="M40" s="62"/>
      <c r="N40" s="69">
        <f t="shared" si="5"/>
        <v>1</v>
      </c>
    </row>
    <row r="41" spans="1:15" ht="30" customHeight="1" thickBot="1">
      <c r="A41" s="1045">
        <v>13</v>
      </c>
      <c r="B41" s="1219" t="s">
        <v>83</v>
      </c>
      <c r="C41" s="1220"/>
      <c r="D41" s="1220"/>
      <c r="E41" s="1220"/>
      <c r="F41" s="1220"/>
      <c r="G41" s="65" t="s">
        <v>81</v>
      </c>
      <c r="H41" s="65"/>
      <c r="I41" s="65"/>
      <c r="J41" s="65"/>
      <c r="K41" s="65">
        <f>'Tab10'!G32</f>
        <v>1</v>
      </c>
      <c r="L41" s="65"/>
      <c r="M41" s="65"/>
      <c r="N41" s="72">
        <f t="shared" si="5"/>
        <v>1</v>
      </c>
    </row>
    <row r="42" spans="1:15">
      <c r="A42" s="1045">
        <v>14</v>
      </c>
      <c r="B42" s="1273" t="s">
        <v>84</v>
      </c>
      <c r="C42" s="1274"/>
      <c r="D42" s="1274"/>
      <c r="E42" s="1274"/>
      <c r="F42" s="1274"/>
      <c r="G42" s="147" t="s">
        <v>63</v>
      </c>
      <c r="H42" s="147">
        <f>'Tab10'!D38</f>
        <v>56</v>
      </c>
      <c r="I42" s="147"/>
      <c r="J42" s="147">
        <f>'Tab10'!F38</f>
        <v>70</v>
      </c>
      <c r="K42" s="147">
        <f>'Tab10'!G38</f>
        <v>378</v>
      </c>
      <c r="L42" s="147">
        <f>'Tab10'!H38</f>
        <v>70</v>
      </c>
      <c r="M42" s="147">
        <f>'Tab10'!I38</f>
        <v>42</v>
      </c>
      <c r="N42" s="518">
        <f t="shared" si="5"/>
        <v>616</v>
      </c>
    </row>
    <row r="43" spans="1:15">
      <c r="A43" s="1045">
        <v>15</v>
      </c>
      <c r="B43" s="1231" t="str">
        <f>'Tab10'!B36</f>
        <v>Täiendav kaeve ka. vana truubi lahtikaeve</v>
      </c>
      <c r="C43" s="1232"/>
      <c r="D43" s="1232"/>
      <c r="E43" s="1232"/>
      <c r="F43" s="1232"/>
      <c r="G43" s="62" t="s">
        <v>63</v>
      </c>
      <c r="H43" s="62">
        <f>'Tab10'!D36</f>
        <v>21</v>
      </c>
      <c r="I43" s="62"/>
      <c r="J43" s="62">
        <f>'Tab10'!F36</f>
        <v>31</v>
      </c>
      <c r="K43" s="62">
        <f>'Tab10'!G36</f>
        <v>262</v>
      </c>
      <c r="L43" s="62">
        <f>'Tab10'!H36</f>
        <v>37</v>
      </c>
      <c r="M43" s="62">
        <f>'Tab10'!I36</f>
        <v>28</v>
      </c>
      <c r="N43" s="69">
        <f t="shared" si="5"/>
        <v>379</v>
      </c>
    </row>
    <row r="44" spans="1:15">
      <c r="A44" s="1045">
        <v>16</v>
      </c>
      <c r="B44" s="1231" t="s">
        <v>85</v>
      </c>
      <c r="C44" s="1232"/>
      <c r="D44" s="1232"/>
      <c r="E44" s="1232"/>
      <c r="F44" s="1232"/>
      <c r="G44" s="62" t="s">
        <v>63</v>
      </c>
      <c r="H44" s="62"/>
      <c r="I44" s="62"/>
      <c r="J44" s="62"/>
      <c r="K44" s="62">
        <f>'Tab10'!G37</f>
        <v>40</v>
      </c>
      <c r="L44" s="62">
        <f>'Tab10'!H37</f>
        <v>20</v>
      </c>
      <c r="M44" s="62"/>
      <c r="N44" s="69">
        <f t="shared" si="5"/>
        <v>60</v>
      </c>
    </row>
    <row r="45" spans="1:15">
      <c r="A45" s="1045">
        <v>17</v>
      </c>
      <c r="B45" s="1231" t="s">
        <v>86</v>
      </c>
      <c r="C45" s="1232"/>
      <c r="D45" s="1232"/>
      <c r="E45" s="1232"/>
      <c r="F45" s="1232"/>
      <c r="G45" s="62" t="s">
        <v>24</v>
      </c>
      <c r="H45" s="62"/>
      <c r="I45" s="62"/>
      <c r="J45" s="62"/>
      <c r="K45" s="62">
        <f>'Tab10'!G35</f>
        <v>18</v>
      </c>
      <c r="L45" s="62">
        <f>'Tab10'!H35</f>
        <v>6</v>
      </c>
      <c r="M45" s="62">
        <f>'Tab10'!I35</f>
        <v>2</v>
      </c>
      <c r="N45" s="69">
        <f t="shared" si="5"/>
        <v>26</v>
      </c>
    </row>
    <row r="46" spans="1:15" ht="15" customHeight="1">
      <c r="A46" s="1045">
        <v>18</v>
      </c>
      <c r="B46" s="1231" t="s">
        <v>795</v>
      </c>
      <c r="C46" s="1232"/>
      <c r="D46" s="1232"/>
      <c r="E46" s="1232"/>
      <c r="F46" s="1232"/>
      <c r="G46" s="62" t="s">
        <v>65</v>
      </c>
      <c r="H46" s="62">
        <f>'Tab10'!D8</f>
        <v>11</v>
      </c>
      <c r="I46" s="62"/>
      <c r="J46" s="62">
        <f>'Tab10'!F8</f>
        <v>12</v>
      </c>
      <c r="K46" s="62">
        <f>'Tab10'!G8</f>
        <v>21</v>
      </c>
      <c r="L46" s="62">
        <f>'Tab10'!H8</f>
        <v>7</v>
      </c>
      <c r="M46" s="62">
        <f>'Tab10'!I8</f>
        <v>8</v>
      </c>
      <c r="N46" s="69">
        <f t="shared" si="5"/>
        <v>59</v>
      </c>
    </row>
    <row r="47" spans="1:15" ht="15" customHeight="1">
      <c r="A47" s="1045">
        <v>19</v>
      </c>
      <c r="B47" s="1231" t="s">
        <v>796</v>
      </c>
      <c r="C47" s="1232"/>
      <c r="D47" s="1232"/>
      <c r="E47" s="1232"/>
      <c r="F47" s="1232"/>
      <c r="G47" s="62" t="s">
        <v>65</v>
      </c>
      <c r="H47" s="62"/>
      <c r="I47" s="62"/>
      <c r="J47" s="62">
        <f>'Tab10'!F9</f>
        <v>9</v>
      </c>
      <c r="K47" s="62">
        <f>'Tab10'!G9</f>
        <v>13</v>
      </c>
      <c r="L47" s="62"/>
      <c r="M47" s="62"/>
      <c r="N47" s="69">
        <f t="shared" si="5"/>
        <v>22</v>
      </c>
    </row>
    <row r="48" spans="1:15" ht="15" customHeight="1">
      <c r="A48" s="1045">
        <v>20</v>
      </c>
      <c r="B48" s="1231" t="s">
        <v>797</v>
      </c>
      <c r="C48" s="1232"/>
      <c r="D48" s="1232"/>
      <c r="E48" s="1232"/>
      <c r="F48" s="1232"/>
      <c r="G48" s="62" t="s">
        <v>65</v>
      </c>
      <c r="H48" s="62"/>
      <c r="I48" s="62"/>
      <c r="J48" s="62"/>
      <c r="K48" s="62">
        <f>'Tab10'!G10</f>
        <v>8</v>
      </c>
      <c r="L48" s="62"/>
      <c r="M48" s="62"/>
      <c r="N48" s="69">
        <f>K48</f>
        <v>8</v>
      </c>
    </row>
    <row r="49" spans="1:14">
      <c r="A49" s="1045">
        <v>21</v>
      </c>
      <c r="B49" s="1231" t="s">
        <v>87</v>
      </c>
      <c r="C49" s="1232"/>
      <c r="D49" s="1232"/>
      <c r="E49" s="1232"/>
      <c r="F49" s="1232"/>
      <c r="G49" s="62" t="s">
        <v>63</v>
      </c>
      <c r="H49" s="62">
        <f>'Tab10'!D12</f>
        <v>2</v>
      </c>
      <c r="I49" s="62"/>
      <c r="J49" s="62">
        <f>'Tab10'!F12</f>
        <v>3.5</v>
      </c>
      <c r="K49" s="62">
        <f>'Tab10'!G12</f>
        <v>6.5</v>
      </c>
      <c r="L49" s="62">
        <f>'Tab10'!H12</f>
        <v>1</v>
      </c>
      <c r="M49" s="62">
        <f>'Tab10'!I12</f>
        <v>1</v>
      </c>
      <c r="N49" s="69">
        <f>SUM(H49:M49)</f>
        <v>14</v>
      </c>
    </row>
    <row r="50" spans="1:14" ht="15.75" thickBot="1">
      <c r="A50" s="1045">
        <v>22</v>
      </c>
      <c r="B50" s="1219" t="str">
        <f>'Tab10'!B39</f>
        <v>Truubitorust sette likvideerimine 0,25 läbimõõtu</v>
      </c>
      <c r="C50" s="1220"/>
      <c r="D50" s="1220"/>
      <c r="E50" s="1220"/>
      <c r="F50" s="1220"/>
      <c r="G50" s="65" t="s">
        <v>65</v>
      </c>
      <c r="H50" s="65"/>
      <c r="I50" s="65"/>
      <c r="J50" s="65"/>
      <c r="K50" s="65"/>
      <c r="L50" s="65"/>
      <c r="M50" s="65"/>
      <c r="N50" s="72"/>
    </row>
    <row r="51" spans="1:14" ht="15.75" thickBot="1">
      <c r="A51" s="55"/>
      <c r="B51" s="73"/>
      <c r="C51" s="73"/>
      <c r="D51" s="73"/>
      <c r="E51" s="73"/>
      <c r="F51" s="73"/>
      <c r="G51" s="74"/>
      <c r="H51" s="74"/>
      <c r="I51" s="74"/>
      <c r="J51" s="74"/>
      <c r="K51" s="74"/>
      <c r="L51" s="74"/>
      <c r="M51" s="74"/>
      <c r="N51" s="74"/>
    </row>
    <row r="52" spans="1:14">
      <c r="A52" s="1242" t="s">
        <v>41</v>
      </c>
      <c r="B52" s="1245" t="s">
        <v>42</v>
      </c>
      <c r="C52" s="1246"/>
      <c r="D52" s="1246"/>
      <c r="E52" s="1246"/>
      <c r="F52" s="1247"/>
      <c r="G52" s="1250" t="s">
        <v>11</v>
      </c>
      <c r="H52" s="1221" t="s">
        <v>43</v>
      </c>
      <c r="I52" s="1222"/>
      <c r="J52" s="1222"/>
      <c r="K52" s="1222"/>
      <c r="L52" s="1222"/>
      <c r="M52" s="1223"/>
      <c r="N52" s="1265" t="s">
        <v>2</v>
      </c>
    </row>
    <row r="53" spans="1:14" ht="15.75" thickBot="1">
      <c r="A53" s="1243"/>
      <c r="B53" s="1145"/>
      <c r="C53" s="1146"/>
      <c r="D53" s="1146"/>
      <c r="E53" s="1146"/>
      <c r="F53" s="1147"/>
      <c r="G53" s="1251"/>
      <c r="H53" s="1291" t="s">
        <v>44</v>
      </c>
      <c r="I53" s="1292"/>
      <c r="J53" s="1292"/>
      <c r="K53" s="1292"/>
      <c r="L53" s="1292"/>
      <c r="M53" s="1293"/>
      <c r="N53" s="1266"/>
    </row>
    <row r="54" spans="1:14" ht="15.75" thickBot="1">
      <c r="A54" s="1244"/>
      <c r="B54" s="1164"/>
      <c r="C54" s="1248"/>
      <c r="D54" s="1248"/>
      <c r="E54" s="1248"/>
      <c r="F54" s="1249"/>
      <c r="G54" s="1252"/>
      <c r="H54" s="399" t="s">
        <v>8</v>
      </c>
      <c r="I54" s="413" t="s">
        <v>9</v>
      </c>
      <c r="J54" s="399" t="s">
        <v>445</v>
      </c>
      <c r="K54" s="399" t="s">
        <v>676</v>
      </c>
      <c r="L54" s="399" t="s">
        <v>677</v>
      </c>
      <c r="M54" s="399" t="s">
        <v>678</v>
      </c>
      <c r="N54" s="1267"/>
    </row>
    <row r="55" spans="1:14" ht="15.75" thickBot="1">
      <c r="A55" s="511" t="s">
        <v>45</v>
      </c>
      <c r="B55" s="1279" t="s">
        <v>46</v>
      </c>
      <c r="C55" s="1280"/>
      <c r="D55" s="1280"/>
      <c r="E55" s="1280"/>
      <c r="F55" s="1281"/>
      <c r="G55" s="58" t="s">
        <v>47</v>
      </c>
      <c r="H55" s="58" t="s">
        <v>48</v>
      </c>
      <c r="I55" s="716" t="s">
        <v>693</v>
      </c>
      <c r="J55" s="716" t="s">
        <v>52</v>
      </c>
      <c r="K55" s="715" t="s">
        <v>230</v>
      </c>
      <c r="L55" s="715" t="s">
        <v>231</v>
      </c>
      <c r="M55" s="715" t="s">
        <v>232</v>
      </c>
      <c r="N55" s="285" t="s">
        <v>233</v>
      </c>
    </row>
    <row r="56" spans="1:14">
      <c r="A56" s="463">
        <v>1</v>
      </c>
      <c r="B56" s="1282" t="s">
        <v>88</v>
      </c>
      <c r="C56" s="1283"/>
      <c r="D56" s="1283"/>
      <c r="E56" s="1283"/>
      <c r="F56" s="1283"/>
      <c r="G56" s="1283"/>
      <c r="H56" s="1283"/>
      <c r="I56" s="1283"/>
      <c r="J56" s="1283"/>
      <c r="K56" s="1284"/>
      <c r="L56" s="1284"/>
      <c r="M56" s="1284"/>
      <c r="N56" s="1285"/>
    </row>
    <row r="57" spans="1:14">
      <c r="A57" s="463">
        <v>2</v>
      </c>
      <c r="B57" s="1213" t="s">
        <v>89</v>
      </c>
      <c r="C57" s="1214"/>
      <c r="D57" s="1214"/>
      <c r="E57" s="1214"/>
      <c r="F57" s="1278"/>
      <c r="G57" s="75" t="s">
        <v>24</v>
      </c>
      <c r="H57" s="75">
        <v>1</v>
      </c>
      <c r="I57" s="75"/>
      <c r="J57" s="75">
        <v>2</v>
      </c>
      <c r="K57" s="233"/>
      <c r="L57" s="233"/>
      <c r="M57" s="233"/>
      <c r="N57" s="76">
        <f t="shared" ref="N57:N65" si="6">SUM(H57:J57)</f>
        <v>3</v>
      </c>
    </row>
    <row r="58" spans="1:14">
      <c r="A58" s="463">
        <v>3</v>
      </c>
      <c r="B58" s="1213" t="s">
        <v>90</v>
      </c>
      <c r="C58" s="1214"/>
      <c r="D58" s="1214"/>
      <c r="E58" s="1214"/>
      <c r="F58" s="1278"/>
      <c r="G58" s="75" t="s">
        <v>63</v>
      </c>
      <c r="H58" s="75">
        <f>'Tab12'!O10</f>
        <v>950</v>
      </c>
      <c r="I58" s="75"/>
      <c r="J58" s="1065">
        <f>'Tab12'!O12</f>
        <v>984</v>
      </c>
      <c r="K58" s="233"/>
      <c r="L58" s="233"/>
      <c r="M58" s="233"/>
      <c r="N58" s="76">
        <f>SUM(H58:J58)</f>
        <v>1934</v>
      </c>
    </row>
    <row r="59" spans="1:14">
      <c r="A59" s="463">
        <v>4</v>
      </c>
      <c r="B59" s="1213" t="s">
        <v>72</v>
      </c>
      <c r="C59" s="1214"/>
      <c r="D59" s="1214"/>
      <c r="E59" s="1214"/>
      <c r="F59" s="1278"/>
      <c r="G59" s="75" t="s">
        <v>63</v>
      </c>
      <c r="H59" s="1044">
        <f>'Tab12'!P10</f>
        <v>570</v>
      </c>
      <c r="I59" s="1044"/>
      <c r="J59" s="1044">
        <f>'Tab12'!P12</f>
        <v>590.4</v>
      </c>
      <c r="K59" s="233"/>
      <c r="L59" s="233"/>
      <c r="M59" s="233"/>
      <c r="N59" s="76">
        <f t="shared" si="6"/>
        <v>1160.4000000000001</v>
      </c>
    </row>
    <row r="60" spans="1:14" ht="30" customHeight="1">
      <c r="A60" s="463">
        <v>5</v>
      </c>
      <c r="B60" s="1294" t="s">
        <v>91</v>
      </c>
      <c r="C60" s="1295"/>
      <c r="D60" s="1295"/>
      <c r="E60" s="1295"/>
      <c r="F60" s="1296"/>
      <c r="G60" s="75" t="s">
        <v>63</v>
      </c>
      <c r="H60" s="1044">
        <f>'Tab12'!N10*2</f>
        <v>272</v>
      </c>
      <c r="I60" s="1044"/>
      <c r="J60" s="1044">
        <f>'Tab12'!N12*2</f>
        <v>264</v>
      </c>
      <c r="K60" s="233"/>
      <c r="L60" s="233"/>
      <c r="M60" s="233"/>
      <c r="N60" s="76">
        <f t="shared" si="6"/>
        <v>536</v>
      </c>
    </row>
    <row r="61" spans="1:14">
      <c r="A61" s="463">
        <v>6</v>
      </c>
      <c r="B61" s="1213" t="s">
        <v>92</v>
      </c>
      <c r="C61" s="1214"/>
      <c r="D61" s="1214"/>
      <c r="E61" s="1214"/>
      <c r="F61" s="1278"/>
      <c r="G61" s="75" t="s">
        <v>24</v>
      </c>
      <c r="H61" s="75">
        <f>H57</f>
        <v>1</v>
      </c>
      <c r="I61" s="75"/>
      <c r="J61" s="75">
        <f>J57</f>
        <v>2</v>
      </c>
      <c r="K61" s="233"/>
      <c r="L61" s="233"/>
      <c r="M61" s="233"/>
      <c r="N61" s="76">
        <f t="shared" si="6"/>
        <v>3</v>
      </c>
    </row>
    <row r="62" spans="1:14">
      <c r="A62" s="463">
        <v>7</v>
      </c>
      <c r="B62" s="1286" t="s">
        <v>93</v>
      </c>
      <c r="C62" s="1287"/>
      <c r="D62" s="1287"/>
      <c r="E62" s="1287"/>
      <c r="F62" s="1288"/>
      <c r="G62" s="75" t="s">
        <v>94</v>
      </c>
      <c r="H62" s="75">
        <f>H57*10</f>
        <v>10</v>
      </c>
      <c r="I62" s="75"/>
      <c r="J62" s="75">
        <f>J57*10</f>
        <v>20</v>
      </c>
      <c r="K62" s="233"/>
      <c r="L62" s="233"/>
      <c r="M62" s="233"/>
      <c r="N62" s="76">
        <f t="shared" si="6"/>
        <v>30</v>
      </c>
    </row>
    <row r="63" spans="1:14">
      <c r="A63" s="463">
        <v>8</v>
      </c>
      <c r="B63" s="1286" t="s">
        <v>95</v>
      </c>
      <c r="C63" s="1287"/>
      <c r="D63" s="1287"/>
      <c r="E63" s="1287"/>
      <c r="F63" s="1288"/>
      <c r="G63" s="75" t="s">
        <v>63</v>
      </c>
      <c r="H63" s="75">
        <f>H57*5</f>
        <v>5</v>
      </c>
      <c r="I63" s="75"/>
      <c r="J63" s="75">
        <f>J57*5</f>
        <v>10</v>
      </c>
      <c r="K63" s="249"/>
      <c r="L63" s="249"/>
      <c r="M63" s="249"/>
      <c r="N63" s="76">
        <f t="shared" si="6"/>
        <v>15</v>
      </c>
    </row>
    <row r="64" spans="1:14">
      <c r="A64" s="463">
        <v>9</v>
      </c>
      <c r="B64" s="1227" t="s">
        <v>57</v>
      </c>
      <c r="C64" s="1228"/>
      <c r="D64" s="1228"/>
      <c r="E64" s="1228"/>
      <c r="F64" s="1228"/>
      <c r="G64" s="75" t="s">
        <v>17</v>
      </c>
      <c r="H64" s="78">
        <f>'Tab12'!T10</f>
        <v>0.17832480000000001</v>
      </c>
      <c r="I64" s="78"/>
      <c r="J64" s="78">
        <f>'Tab12'!W12</f>
        <v>0.18197860000000002</v>
      </c>
      <c r="K64" s="78"/>
      <c r="L64" s="78"/>
      <c r="M64" s="78"/>
      <c r="N64" s="1009">
        <f t="shared" si="6"/>
        <v>0.36030340000000005</v>
      </c>
    </row>
    <row r="65" spans="1:14">
      <c r="A65" s="463">
        <v>10</v>
      </c>
      <c r="B65" s="1289" t="s">
        <v>217</v>
      </c>
      <c r="C65" s="1290"/>
      <c r="D65" s="1290"/>
      <c r="E65" s="1290"/>
      <c r="F65" s="1290"/>
      <c r="G65" s="75" t="s">
        <v>17</v>
      </c>
      <c r="H65" s="78">
        <f>H64</f>
        <v>0.17832480000000001</v>
      </c>
      <c r="I65" s="78"/>
      <c r="J65" s="78">
        <f>J64</f>
        <v>0.18197860000000002</v>
      </c>
      <c r="K65" s="78"/>
      <c r="L65" s="78"/>
      <c r="M65" s="78"/>
      <c r="N65" s="1009">
        <f t="shared" si="6"/>
        <v>0.36030340000000005</v>
      </c>
    </row>
    <row r="66" spans="1:14">
      <c r="A66" s="1041">
        <v>11</v>
      </c>
      <c r="B66" s="1217" t="str">
        <f>'Tab12'!B20:I20</f>
        <v>Kraavilaiend (KL), süvend kraavi põhjas 0,5 m, põhja laius 1,0 m, ühe kalda nõlvus 1:3, pikkus 10 m</v>
      </c>
      <c r="C66" s="1218"/>
      <c r="D66" s="1218"/>
      <c r="E66" s="1218"/>
      <c r="F66" s="1218"/>
      <c r="G66" s="1218"/>
      <c r="H66" s="1218"/>
      <c r="I66" s="1218"/>
      <c r="J66" s="1218"/>
      <c r="K66" s="1093"/>
      <c r="L66" s="1093"/>
      <c r="M66" s="1093"/>
      <c r="N66" s="1094"/>
    </row>
    <row r="67" spans="1:14">
      <c r="A67" s="1041">
        <v>12</v>
      </c>
      <c r="B67" s="1213" t="str">
        <f>'Tab12'!B21:E21</f>
        <v>Kraavilaiendi mahamärkimine</v>
      </c>
      <c r="C67" s="1214"/>
      <c r="D67" s="1214"/>
      <c r="E67" s="1214"/>
      <c r="F67" s="1214"/>
      <c r="G67" s="75" t="str">
        <f>'Tab12'!F21</f>
        <v>tk</v>
      </c>
      <c r="H67" s="1044">
        <f>'Tab12'!G21</f>
        <v>1</v>
      </c>
      <c r="I67" s="78"/>
      <c r="J67" s="1044">
        <f>'Tab12'!H21</f>
        <v>2</v>
      </c>
      <c r="K67" s="78"/>
      <c r="L67" s="78"/>
      <c r="M67" s="78"/>
      <c r="N67" s="76">
        <f>SUM(H67:M67)</f>
        <v>3</v>
      </c>
    </row>
    <row r="68" spans="1:14">
      <c r="A68" s="1041">
        <v>13</v>
      </c>
      <c r="B68" s="1213" t="str">
        <f>'Tab12'!B22:E22</f>
        <v>Kaevamine III gr pinnas</v>
      </c>
      <c r="C68" s="1214"/>
      <c r="D68" s="1214"/>
      <c r="E68" s="1214"/>
      <c r="F68" s="1214"/>
      <c r="G68" s="75" t="str">
        <f>'Tab12'!F22</f>
        <v>m³</v>
      </c>
      <c r="H68" s="1044">
        <f>'Tab12'!G22</f>
        <v>32.5</v>
      </c>
      <c r="I68" s="78"/>
      <c r="J68" s="1044">
        <f>'Tab12'!H22</f>
        <v>65</v>
      </c>
      <c r="K68" s="78"/>
      <c r="L68" s="78"/>
      <c r="M68" s="78"/>
      <c r="N68" s="76">
        <f t="shared" ref="N68:N72" si="7">SUM(H68:M68)</f>
        <v>97.5</v>
      </c>
    </row>
    <row r="69" spans="1:14">
      <c r="A69" s="1041">
        <v>14</v>
      </c>
      <c r="B69" s="1213" t="str">
        <f>'Tab12'!B23:E23</f>
        <v>Puistepinnase laialiajamine buldooseriga, lükkekaugus kuni 40 m</v>
      </c>
      <c r="C69" s="1214"/>
      <c r="D69" s="1214"/>
      <c r="E69" s="1214"/>
      <c r="F69" s="1214"/>
      <c r="G69" s="75" t="str">
        <f>'Tab12'!F23</f>
        <v>m³</v>
      </c>
      <c r="H69" s="1044">
        <f>'Tab12'!G23</f>
        <v>19.5</v>
      </c>
      <c r="I69" s="78"/>
      <c r="J69" s="1044">
        <f>'Tab12'!H23</f>
        <v>39</v>
      </c>
      <c r="K69" s="78"/>
      <c r="L69" s="78"/>
      <c r="M69" s="78"/>
      <c r="N69" s="76">
        <f t="shared" si="7"/>
        <v>58.5</v>
      </c>
    </row>
    <row r="70" spans="1:14">
      <c r="A70" s="1041">
        <v>15</v>
      </c>
      <c r="B70" s="1213" t="str">
        <f>'Tab12'!B24:E24</f>
        <v>Kraavilaiendi puhastamine settest tööde käigus</v>
      </c>
      <c r="C70" s="1214"/>
      <c r="D70" s="1214"/>
      <c r="E70" s="1214"/>
      <c r="F70" s="1214"/>
      <c r="G70" s="75" t="str">
        <f>'Tab12'!F24</f>
        <v>m³</v>
      </c>
      <c r="H70" s="1044">
        <f>'Tab12'!G24</f>
        <v>8</v>
      </c>
      <c r="I70" s="78"/>
      <c r="J70" s="1044">
        <f>'Tab12'!H24</f>
        <v>16</v>
      </c>
      <c r="K70" s="78"/>
      <c r="L70" s="78"/>
      <c r="M70" s="78"/>
      <c r="N70" s="76">
        <f t="shared" si="7"/>
        <v>24</v>
      </c>
    </row>
    <row r="71" spans="1:14">
      <c r="A71" s="1041">
        <v>16</v>
      </c>
      <c r="B71" s="1213" t="str">
        <f>'Tab12'!B25:E25</f>
        <v>Puittaimestiku likvideerimine</v>
      </c>
      <c r="C71" s="1214"/>
      <c r="D71" s="1214"/>
      <c r="E71" s="1214"/>
      <c r="F71" s="1214"/>
      <c r="G71" s="75" t="str">
        <f>'Tab12'!F25</f>
        <v xml:space="preserve">ha </v>
      </c>
      <c r="H71" s="78">
        <f>'Tab12'!G25</f>
        <v>7.7999999999999996E-3</v>
      </c>
      <c r="I71" s="78"/>
      <c r="J71" s="78">
        <f>'Tab12'!H25</f>
        <v>1.5599999999999999E-2</v>
      </c>
      <c r="K71" s="78"/>
      <c r="L71" s="78"/>
      <c r="M71" s="78"/>
      <c r="N71" s="1009">
        <f t="shared" si="7"/>
        <v>2.3399999999999997E-2</v>
      </c>
    </row>
    <row r="72" spans="1:14" ht="15.75" thickBot="1">
      <c r="A72" s="1041">
        <v>17</v>
      </c>
      <c r="B72" s="1215" t="str">
        <f>'Tab12'!B26:E26</f>
        <v>Kändude juurimine</v>
      </c>
      <c r="C72" s="1216"/>
      <c r="D72" s="1216"/>
      <c r="E72" s="1216"/>
      <c r="F72" s="1216"/>
      <c r="G72" s="112" t="str">
        <f>'Tab12'!F26</f>
        <v xml:space="preserve">ha </v>
      </c>
      <c r="H72" s="1091">
        <f>'Tab12'!G26</f>
        <v>7.7999999999999996E-3</v>
      </c>
      <c r="I72" s="1091"/>
      <c r="J72" s="1091">
        <f>'Tab12'!H26</f>
        <v>1.5599999999999999E-2</v>
      </c>
      <c r="K72" s="1091"/>
      <c r="L72" s="1091"/>
      <c r="M72" s="1091"/>
      <c r="N72" s="1096">
        <f t="shared" si="7"/>
        <v>2.3399999999999997E-2</v>
      </c>
    </row>
    <row r="73" spans="1:14">
      <c r="A73" s="54">
        <v>1</v>
      </c>
      <c r="B73" s="1304" t="s">
        <v>97</v>
      </c>
      <c r="C73" s="1305"/>
      <c r="D73" s="1305"/>
      <c r="E73" s="1305"/>
      <c r="F73" s="1305"/>
      <c r="G73" s="1305"/>
      <c r="H73" s="1305"/>
      <c r="I73" s="1305"/>
      <c r="J73" s="1305"/>
      <c r="K73" s="1305"/>
      <c r="L73" s="1305"/>
      <c r="M73" s="1305"/>
      <c r="N73" s="1306"/>
    </row>
    <row r="74" spans="1:14" ht="30" customHeight="1">
      <c r="A74" s="463">
        <v>2</v>
      </c>
      <c r="B74" s="1302" t="str">
        <f>Tab13.!B7</f>
        <v>Kraavide nõlvade kindlustamine erosioonitõkkematiga (dzuudikiust võrguga)</v>
      </c>
      <c r="C74" s="1303"/>
      <c r="D74" s="1303"/>
      <c r="E74" s="1303"/>
      <c r="F74" s="1303"/>
      <c r="G74" s="75" t="s">
        <v>94</v>
      </c>
      <c r="H74" s="530">
        <f>('Tab8'!F26+'Tab8'!F27+'Tab8'!F28)*5*0.02</f>
        <v>454.6</v>
      </c>
      <c r="I74" s="530">
        <f>'Tab8'!F37*5*0.02</f>
        <v>44</v>
      </c>
      <c r="J74" s="530">
        <f>('Tab8'!F72+'Tab8'!F73+'Tab8'!F74+'Tab8'!F75)*5*0.02</f>
        <v>1119.7</v>
      </c>
      <c r="K74" s="530">
        <f>('Tab8'!F138+'Tab8'!F139+'Tab8'!F140)*5*0.02</f>
        <v>997.2</v>
      </c>
      <c r="L74" s="530">
        <f>'Tab8'!F152*0.02*5</f>
        <v>94.2</v>
      </c>
      <c r="M74" s="530">
        <f>('Tab8'!F167+'Tab8'!F168+'Tab8'!F169)*5*0.02</f>
        <v>60.4</v>
      </c>
      <c r="N74" s="1010">
        <f>SUM(H74:M74)</f>
        <v>2770.1</v>
      </c>
    </row>
    <row r="75" spans="1:14">
      <c r="A75" s="463">
        <v>3</v>
      </c>
      <c r="B75" s="1307" t="s">
        <v>98</v>
      </c>
      <c r="C75" s="1308"/>
      <c r="D75" s="1308"/>
      <c r="E75" s="1308"/>
      <c r="F75" s="1308"/>
      <c r="G75" s="619" t="s">
        <v>99</v>
      </c>
      <c r="H75" s="1209">
        <v>1</v>
      </c>
      <c r="I75" s="1211"/>
      <c r="J75" s="1211"/>
      <c r="K75" s="53">
        <f>Tab13.!G11</f>
        <v>2</v>
      </c>
      <c r="L75" s="53">
        <f>Tab13.!H11</f>
        <v>1</v>
      </c>
      <c r="M75" s="53">
        <f>Tab13.!I11</f>
        <v>1</v>
      </c>
      <c r="N75" s="1010">
        <f>SUM(H75:M75)</f>
        <v>5</v>
      </c>
    </row>
    <row r="76" spans="1:14" ht="45" customHeight="1">
      <c r="A76" s="463">
        <v>4</v>
      </c>
      <c r="B76" s="1300" t="s">
        <v>780</v>
      </c>
      <c r="C76" s="1301"/>
      <c r="D76" s="1301"/>
      <c r="E76" s="1301"/>
      <c r="F76" s="1301"/>
      <c r="G76" s="53" t="s">
        <v>99</v>
      </c>
      <c r="H76" s="53"/>
      <c r="I76" s="53"/>
      <c r="J76" s="53"/>
      <c r="K76" s="53">
        <v>1</v>
      </c>
      <c r="L76" s="53"/>
      <c r="M76" s="53"/>
      <c r="N76" s="1010">
        <f>SUM(H76:M76)</f>
        <v>1</v>
      </c>
    </row>
    <row r="77" spans="1:14" ht="30" customHeight="1" thickBot="1">
      <c r="A77" s="463">
        <v>5</v>
      </c>
      <c r="B77" s="1297" t="s">
        <v>798</v>
      </c>
      <c r="C77" s="1298"/>
      <c r="D77" s="1298"/>
      <c r="E77" s="1298"/>
      <c r="F77" s="1299"/>
      <c r="G77" s="79" t="s">
        <v>24</v>
      </c>
      <c r="H77" s="79"/>
      <c r="I77" s="79"/>
      <c r="J77" s="79"/>
      <c r="K77" s="79">
        <v>2</v>
      </c>
      <c r="L77" s="79"/>
      <c r="M77" s="79"/>
      <c r="N77" s="1011">
        <f>SUM(H77:M77)</f>
        <v>2</v>
      </c>
    </row>
    <row r="78" spans="1:14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>
      <c r="A79" s="45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</row>
    <row r="80" spans="1:14">
      <c r="A80" s="45"/>
      <c r="B80" s="52"/>
      <c r="C80" s="52"/>
      <c r="D80" s="52"/>
      <c r="E80" s="52"/>
      <c r="F80" s="52"/>
      <c r="H80" s="52"/>
      <c r="I80" s="52"/>
      <c r="J80" s="52"/>
      <c r="K80" s="52"/>
      <c r="L80" s="52"/>
      <c r="M80" s="52"/>
      <c r="N80" s="52"/>
    </row>
    <row r="81" spans="1:14">
      <c r="A81" s="45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</row>
    <row r="82" spans="1:14">
      <c r="A82" s="45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</row>
    <row r="83" spans="1:14">
      <c r="A83" s="45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</row>
    <row r="84" spans="1:14">
      <c r="A84" s="45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</row>
  </sheetData>
  <mergeCells count="81">
    <mergeCell ref="B77:F77"/>
    <mergeCell ref="B76:F76"/>
    <mergeCell ref="B74:F74"/>
    <mergeCell ref="B73:N73"/>
    <mergeCell ref="B75:F75"/>
    <mergeCell ref="H75:J75"/>
    <mergeCell ref="B63:F63"/>
    <mergeCell ref="B64:F64"/>
    <mergeCell ref="B65:F65"/>
    <mergeCell ref="N52:N54"/>
    <mergeCell ref="B59:F59"/>
    <mergeCell ref="H52:M52"/>
    <mergeCell ref="H53:M53"/>
    <mergeCell ref="G52:G54"/>
    <mergeCell ref="B60:F60"/>
    <mergeCell ref="B61:F61"/>
    <mergeCell ref="B62:F62"/>
    <mergeCell ref="A52:A54"/>
    <mergeCell ref="B52:F54"/>
    <mergeCell ref="B58:F58"/>
    <mergeCell ref="B57:F57"/>
    <mergeCell ref="B55:F55"/>
    <mergeCell ref="B56:N56"/>
    <mergeCell ref="B42:F42"/>
    <mergeCell ref="B46:F46"/>
    <mergeCell ref="B49:F49"/>
    <mergeCell ref="B44:F44"/>
    <mergeCell ref="B45:F45"/>
    <mergeCell ref="B43:F43"/>
    <mergeCell ref="B47:F47"/>
    <mergeCell ref="B48:F48"/>
    <mergeCell ref="B38:F38"/>
    <mergeCell ref="B40:F40"/>
    <mergeCell ref="B31:F31"/>
    <mergeCell ref="B41:F41"/>
    <mergeCell ref="B34:F34"/>
    <mergeCell ref="B36:F36"/>
    <mergeCell ref="B35:F35"/>
    <mergeCell ref="B37:F37"/>
    <mergeCell ref="B39:F39"/>
    <mergeCell ref="B33:F33"/>
    <mergeCell ref="B32:F32"/>
    <mergeCell ref="A3:A5"/>
    <mergeCell ref="B3:F5"/>
    <mergeCell ref="G3:G5"/>
    <mergeCell ref="B25:F25"/>
    <mergeCell ref="B17:F17"/>
    <mergeCell ref="B6:F6"/>
    <mergeCell ref="B7:N7"/>
    <mergeCell ref="B10:F10"/>
    <mergeCell ref="B11:F11"/>
    <mergeCell ref="B12:F12"/>
    <mergeCell ref="B18:F18"/>
    <mergeCell ref="B19:F19"/>
    <mergeCell ref="B20:N20"/>
    <mergeCell ref="B21:F21"/>
    <mergeCell ref="B22:F22"/>
    <mergeCell ref="N3:N5"/>
    <mergeCell ref="B50:F50"/>
    <mergeCell ref="H3:M3"/>
    <mergeCell ref="H4:M4"/>
    <mergeCell ref="B16:F16"/>
    <mergeCell ref="B13:F13"/>
    <mergeCell ref="B14:F14"/>
    <mergeCell ref="B15:F15"/>
    <mergeCell ref="B8:F8"/>
    <mergeCell ref="B9:F9"/>
    <mergeCell ref="B23:F23"/>
    <mergeCell ref="B24:F24"/>
    <mergeCell ref="B26:F26"/>
    <mergeCell ref="B28:F28"/>
    <mergeCell ref="B30:F30"/>
    <mergeCell ref="B29:N29"/>
    <mergeCell ref="B27:F27"/>
    <mergeCell ref="B71:F71"/>
    <mergeCell ref="B72:F72"/>
    <mergeCell ref="B66:J66"/>
    <mergeCell ref="B67:F67"/>
    <mergeCell ref="B68:F68"/>
    <mergeCell ref="B69:F69"/>
    <mergeCell ref="B70:F70"/>
  </mergeCells>
  <phoneticPr fontId="59" type="noConversion"/>
  <pageMargins left="0.31496062992125984" right="0" top="0.74803149606299213" bottom="0.74803149606299213" header="0.31496062992125984" footer="0.31496062992125984"/>
  <pageSetup paperSize="8" scale="90" orientation="portrait" r:id="rId1"/>
  <rowBreaks count="1" manualBreakCount="1">
    <brk id="50" max="16383" man="1"/>
  </rowBreaks>
  <ignoredErrors>
    <ignoredError sqref="K10 H12 H14 J12 J14 K12:M12 K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opLeftCell="A4" workbookViewId="0">
      <pane ySplit="1560" topLeftCell="A40" activePane="bottomLeft"/>
      <selection activeCell="W7" sqref="W7"/>
      <selection pane="bottomLeft" activeCell="Q48" sqref="Q48"/>
    </sheetView>
    <sheetView tabSelected="1" topLeftCell="A25" workbookViewId="1">
      <selection activeCell="H26" sqref="H26"/>
    </sheetView>
  </sheetViews>
  <sheetFormatPr defaultRowHeight="15"/>
  <cols>
    <col min="11" max="11" width="13.140625" bestFit="1" customWidth="1"/>
  </cols>
  <sheetData>
    <row r="1" spans="1:22" ht="15.75">
      <c r="A1" s="1" t="s">
        <v>102</v>
      </c>
    </row>
    <row r="2" spans="1:22" ht="15.75" thickBot="1">
      <c r="L2" s="83"/>
    </row>
    <row r="3" spans="1:22">
      <c r="A3" s="1242" t="s">
        <v>41</v>
      </c>
      <c r="B3" s="1245" t="s">
        <v>42</v>
      </c>
      <c r="C3" s="1246"/>
      <c r="D3" s="1246"/>
      <c r="E3" s="1246"/>
      <c r="F3" s="1247"/>
      <c r="G3" s="1250" t="s">
        <v>11</v>
      </c>
      <c r="H3" s="1221" t="s">
        <v>43</v>
      </c>
      <c r="I3" s="1222"/>
      <c r="J3" s="1222"/>
      <c r="K3" s="1223"/>
      <c r="L3" s="1265" t="s">
        <v>2</v>
      </c>
      <c r="P3" s="452"/>
      <c r="Q3" s="452"/>
      <c r="R3" s="452"/>
      <c r="S3" s="452"/>
      <c r="T3" s="452"/>
      <c r="U3" s="452"/>
      <c r="V3" s="452"/>
    </row>
    <row r="4" spans="1:22" ht="15.75" thickBot="1">
      <c r="A4" s="1243"/>
      <c r="B4" s="1145"/>
      <c r="C4" s="1146"/>
      <c r="D4" s="1146"/>
      <c r="E4" s="1146"/>
      <c r="F4" s="1147"/>
      <c r="G4" s="1251"/>
      <c r="H4" s="1224" t="s">
        <v>44</v>
      </c>
      <c r="I4" s="1225"/>
      <c r="J4" s="1225"/>
      <c r="K4" s="1226"/>
      <c r="L4" s="1266"/>
      <c r="P4" s="452"/>
      <c r="Q4" s="452"/>
      <c r="R4" s="452"/>
      <c r="S4" s="452"/>
      <c r="T4" s="452"/>
      <c r="U4" s="452"/>
      <c r="V4" s="452"/>
    </row>
    <row r="5" spans="1:22" ht="15.75" thickBot="1">
      <c r="A5" s="1243"/>
      <c r="B5" s="1309"/>
      <c r="C5" s="1310"/>
      <c r="D5" s="1310"/>
      <c r="E5" s="1310"/>
      <c r="F5" s="1311"/>
      <c r="G5" s="1312"/>
      <c r="H5" s="1314" t="s">
        <v>858</v>
      </c>
      <c r="I5" s="1315"/>
      <c r="J5" s="399" t="s">
        <v>649</v>
      </c>
      <c r="K5" s="818" t="s">
        <v>673</v>
      </c>
      <c r="L5" s="1313"/>
      <c r="P5" s="452"/>
      <c r="Q5" s="452"/>
      <c r="R5" s="452"/>
      <c r="S5" s="452"/>
      <c r="T5" s="452"/>
      <c r="U5" s="452"/>
      <c r="V5" s="452"/>
    </row>
    <row r="6" spans="1:22" ht="15.75" thickBot="1">
      <c r="A6" s="1244"/>
      <c r="B6" s="1164"/>
      <c r="C6" s="1248"/>
      <c r="D6" s="1248"/>
      <c r="E6" s="1248"/>
      <c r="F6" s="1249"/>
      <c r="G6" s="1252"/>
      <c r="H6" s="399" t="s">
        <v>542</v>
      </c>
      <c r="I6" s="399" t="s">
        <v>543</v>
      </c>
      <c r="J6" s="399" t="s">
        <v>448</v>
      </c>
      <c r="K6" s="399" t="s">
        <v>449</v>
      </c>
      <c r="L6" s="1267"/>
    </row>
    <row r="7" spans="1:22" ht="15.75" thickBot="1">
      <c r="A7" s="1770" t="s">
        <v>45</v>
      </c>
      <c r="B7" s="1771" t="s">
        <v>46</v>
      </c>
      <c r="C7" s="1771"/>
      <c r="D7" s="1771"/>
      <c r="E7" s="1771"/>
      <c r="F7" s="1771"/>
      <c r="G7" s="1772" t="s">
        <v>47</v>
      </c>
      <c r="H7" s="1772" t="s">
        <v>48</v>
      </c>
      <c r="I7" s="1773" t="s">
        <v>693</v>
      </c>
      <c r="J7" s="1773" t="s">
        <v>50</v>
      </c>
      <c r="K7" s="1773" t="s">
        <v>51</v>
      </c>
      <c r="L7" s="1774" t="s">
        <v>52</v>
      </c>
    </row>
    <row r="8" spans="1:22">
      <c r="A8" s="329"/>
      <c r="B8" s="1316" t="s">
        <v>818</v>
      </c>
      <c r="C8" s="1317"/>
      <c r="D8" s="1317"/>
      <c r="E8" s="1317"/>
      <c r="F8" s="1317"/>
      <c r="G8" s="86" t="s">
        <v>65</v>
      </c>
      <c r="H8" s="87">
        <f>'Tab11 TEE'!E11+'Tab11 TEE'!E12+'Tab11 TEE'!E13+'Tab11 TEE'!E14+'Tab11 TEE'!E15+'Tab11 TEE'!E16+'Tab11 TEE'!E17+'Tab11 TEE'!E10+'Tab11 TEE'!E9</f>
        <v>3432</v>
      </c>
      <c r="I8" s="250">
        <f>'Tab11 TEE'!E23+'Tab11 TEE'!E24+'Tab11 TEE'!E25+'Tab11 TEE'!E26+'Tab11 TEE'!E27</f>
        <v>2596</v>
      </c>
      <c r="J8" s="250">
        <f>'Tab11 TEE'!E33+'Tab11 TEE'!E34+'Tab11 TEE'!E35</f>
        <v>472</v>
      </c>
      <c r="K8" s="250">
        <f>'Tab11 TEE'!E40+'Tab11 TEE'!E41</f>
        <v>941</v>
      </c>
      <c r="L8" s="88"/>
    </row>
    <row r="9" spans="1:22">
      <c r="A9" s="202">
        <v>1</v>
      </c>
      <c r="B9" s="1318" t="s">
        <v>54</v>
      </c>
      <c r="C9" s="1319"/>
      <c r="D9" s="1319"/>
      <c r="E9" s="1319"/>
      <c r="F9" s="1319"/>
      <c r="G9" s="1319"/>
      <c r="H9" s="1319"/>
      <c r="I9" s="1319"/>
      <c r="J9" s="1319"/>
      <c r="K9" s="1319"/>
      <c r="L9" s="1320"/>
    </row>
    <row r="10" spans="1:22" ht="30" customHeight="1">
      <c r="A10" s="202">
        <v>2</v>
      </c>
      <c r="B10" s="1321" t="s">
        <v>104</v>
      </c>
      <c r="C10" s="1322"/>
      <c r="D10" s="1322"/>
      <c r="E10" s="1322"/>
      <c r="F10" s="1322"/>
      <c r="G10" s="278" t="s">
        <v>65</v>
      </c>
      <c r="H10" s="148">
        <f>H8</f>
        <v>3432</v>
      </c>
      <c r="I10" s="148">
        <f>I8</f>
        <v>2596</v>
      </c>
      <c r="J10" s="148">
        <f>J8</f>
        <v>472</v>
      </c>
      <c r="K10" s="148">
        <f>K8</f>
        <v>941</v>
      </c>
      <c r="L10" s="1788">
        <f>SUM(H10:K10)</f>
        <v>7441</v>
      </c>
    </row>
    <row r="11" spans="1:22">
      <c r="A11" s="202">
        <v>3</v>
      </c>
      <c r="B11" s="1329" t="s">
        <v>105</v>
      </c>
      <c r="C11" s="1330"/>
      <c r="D11" s="1330"/>
      <c r="E11" s="1330"/>
      <c r="F11" s="1330"/>
      <c r="G11" s="53" t="s">
        <v>24</v>
      </c>
      <c r="H11" s="20">
        <f>'Tab7'!C8+'Tab7'!C12+'Tab7'!C14</f>
        <v>22</v>
      </c>
      <c r="I11" s="28">
        <f>'Tab7'!D8+'Tab7'!D12+'Tab7'!D14</f>
        <v>13</v>
      </c>
      <c r="J11" s="149">
        <f>'Tab7'!E8+'Tab7'!E12</f>
        <v>3</v>
      </c>
      <c r="K11" s="149">
        <f>'Tab7'!F8+'Tab7'!F12+'Tab7'!F14</f>
        <v>7</v>
      </c>
      <c r="L11" s="282">
        <f>SUM(H11:K11)</f>
        <v>45</v>
      </c>
    </row>
    <row r="12" spans="1:22">
      <c r="A12" s="202">
        <v>4</v>
      </c>
      <c r="B12" s="1318" t="s">
        <v>106</v>
      </c>
      <c r="C12" s="1319"/>
      <c r="D12" s="1319"/>
      <c r="E12" s="1319"/>
      <c r="F12" s="1319"/>
      <c r="G12" s="1319"/>
      <c r="H12" s="1319"/>
      <c r="I12" s="1319"/>
      <c r="J12" s="1319"/>
      <c r="K12" s="1319"/>
      <c r="L12" s="1320"/>
    </row>
    <row r="13" spans="1:22" ht="30" customHeight="1">
      <c r="A13" s="202">
        <v>5</v>
      </c>
      <c r="B13" s="1326" t="s">
        <v>107</v>
      </c>
      <c r="C13" s="1327"/>
      <c r="D13" s="1327"/>
      <c r="E13" s="1327"/>
      <c r="F13" s="1328"/>
      <c r="G13" s="62" t="s">
        <v>94</v>
      </c>
      <c r="H13" s="62">
        <f>H8*7.5</f>
        <v>25740</v>
      </c>
      <c r="I13" s="62">
        <f>I8*7.5</f>
        <v>19470</v>
      </c>
      <c r="J13" s="62">
        <f>J8*7.5</f>
        <v>3540</v>
      </c>
      <c r="K13" s="20">
        <f>K8*7.5</f>
        <v>7057.5</v>
      </c>
      <c r="L13" s="282">
        <f>SUM(H13:K13)</f>
        <v>55807.5</v>
      </c>
    </row>
    <row r="14" spans="1:22" ht="30" customHeight="1">
      <c r="A14" s="202">
        <v>6</v>
      </c>
      <c r="B14" s="1326" t="s">
        <v>807</v>
      </c>
      <c r="C14" s="1327"/>
      <c r="D14" s="1327"/>
      <c r="E14" s="1327"/>
      <c r="F14" s="1328"/>
      <c r="G14" s="62" t="s">
        <v>63</v>
      </c>
      <c r="H14" s="20">
        <f>'Tab8'!R110+'Tab8'!R111+'Tab8'!R112+'Tab8'!R113+'Tab8'!R114+'Tab8'!R115+'Tab8'!R116+'Tab8'!R117+'Tab8'!R118+'Tab8'!R119+'Tab8'!R120+'Tab8'!R121+'Tab8'!R122</f>
        <v>2742.95</v>
      </c>
      <c r="I14" s="28">
        <f>'Tab8'!R123+'Tab8'!R124+'Tab8'!R125+'Tab8'!R126+'Tab8'!R127+'Tab8'!R128+'Tab8'!R129+'Tab8'!R130</f>
        <v>1603.28</v>
      </c>
      <c r="J14" s="28">
        <f>'Tab8'!R152</f>
        <v>559.53</v>
      </c>
      <c r="K14" s="28">
        <f>'Tab8'!R168+'Tab8'!R169</f>
        <v>204.97</v>
      </c>
      <c r="L14" s="282">
        <f>SUM(H14:K14)</f>
        <v>5110.7299999999996</v>
      </c>
    </row>
    <row r="15" spans="1:22" ht="30" customHeight="1">
      <c r="A15" s="202">
        <v>7</v>
      </c>
      <c r="B15" s="1323" t="s">
        <v>803</v>
      </c>
      <c r="C15" s="1324"/>
      <c r="D15" s="1324"/>
      <c r="E15" s="1324"/>
      <c r="F15" s="1325"/>
      <c r="G15" s="62" t="s">
        <v>63</v>
      </c>
      <c r="H15" s="20">
        <f>496*2.03</f>
        <v>1006.8799999999999</v>
      </c>
      <c r="I15" s="139">
        <f>439*1.56</f>
        <v>684.84</v>
      </c>
      <c r="J15" s="20"/>
      <c r="K15" s="20"/>
      <c r="L15" s="282">
        <f>SUM(H15:K15)</f>
        <v>1691.7199999999998</v>
      </c>
    </row>
    <row r="16" spans="1:22" ht="30" customHeight="1">
      <c r="A16" s="202">
        <v>8</v>
      </c>
      <c r="B16" s="1323" t="s">
        <v>859</v>
      </c>
      <c r="C16" s="1324"/>
      <c r="D16" s="1324"/>
      <c r="E16" s="1324"/>
      <c r="F16" s="1325"/>
      <c r="G16" s="62" t="s">
        <v>63</v>
      </c>
      <c r="H16" s="20">
        <v>226</v>
      </c>
      <c r="I16" s="139"/>
      <c r="J16" s="20"/>
      <c r="K16" s="20"/>
      <c r="L16" s="282">
        <f>SUM(H16:K16)</f>
        <v>226</v>
      </c>
    </row>
    <row r="17" spans="1:12" ht="30" customHeight="1">
      <c r="A17" s="202">
        <v>9</v>
      </c>
      <c r="B17" s="1323" t="s">
        <v>866</v>
      </c>
      <c r="C17" s="1324"/>
      <c r="D17" s="1324"/>
      <c r="E17" s="1324"/>
      <c r="F17" s="1325"/>
      <c r="G17" s="62" t="s">
        <v>63</v>
      </c>
      <c r="H17" s="20">
        <v>588</v>
      </c>
      <c r="I17" s="20"/>
      <c r="J17" s="20"/>
      <c r="K17" s="20"/>
      <c r="L17" s="282">
        <f>SUM(H17:K17)</f>
        <v>588</v>
      </c>
    </row>
    <row r="18" spans="1:12">
      <c r="A18" s="202">
        <v>10</v>
      </c>
      <c r="B18" s="1318" t="s">
        <v>108</v>
      </c>
      <c r="C18" s="1319"/>
      <c r="D18" s="1319"/>
      <c r="E18" s="1319"/>
      <c r="F18" s="1319"/>
      <c r="G18" s="1319"/>
      <c r="H18" s="1319"/>
      <c r="I18" s="1319"/>
      <c r="J18" s="1319"/>
      <c r="K18" s="1319"/>
      <c r="L18" s="1320"/>
    </row>
    <row r="19" spans="1:12" ht="39.950000000000003" customHeight="1">
      <c r="A19" s="202">
        <v>11</v>
      </c>
      <c r="B19" s="1331" t="s">
        <v>109</v>
      </c>
      <c r="C19" s="1332"/>
      <c r="D19" s="1332"/>
      <c r="E19" s="1332"/>
      <c r="F19" s="1333"/>
      <c r="G19" s="62" t="s">
        <v>94</v>
      </c>
      <c r="H19" s="20">
        <f>'Tab11 TEE'!J19</f>
        <v>13968.900000000001</v>
      </c>
      <c r="I19" s="28">
        <f>'Tab11 TEE'!J29</f>
        <v>10557</v>
      </c>
      <c r="J19" s="28">
        <f>'Tab11 TEE'!J36</f>
        <v>2407.1999999999998</v>
      </c>
      <c r="K19" s="28">
        <f>'Tab11 TEE'!J43</f>
        <v>4799.1000000000004</v>
      </c>
      <c r="L19" s="282">
        <f t="shared" ref="L19:L24" si="0">SUM(H19:K19)</f>
        <v>31732.200000000004</v>
      </c>
    </row>
    <row r="20" spans="1:12" ht="39.950000000000003" customHeight="1">
      <c r="A20" s="202">
        <v>12</v>
      </c>
      <c r="B20" s="1331" t="s">
        <v>582</v>
      </c>
      <c r="C20" s="1332"/>
      <c r="D20" s="1332"/>
      <c r="E20" s="1332"/>
      <c r="F20" s="1333"/>
      <c r="G20" s="62" t="s">
        <v>94</v>
      </c>
      <c r="H20" s="20">
        <f>'Tab11 TEE'!K19</f>
        <v>3534.3</v>
      </c>
      <c r="I20" s="28">
        <f>'Tab11 TEE'!K29</f>
        <v>2682.6000000000004</v>
      </c>
      <c r="J20" s="149"/>
      <c r="K20" s="149"/>
      <c r="L20" s="282">
        <f t="shared" si="0"/>
        <v>6216.9000000000005</v>
      </c>
    </row>
    <row r="21" spans="1:12" ht="25.5" customHeight="1">
      <c r="A21" s="202">
        <v>13</v>
      </c>
      <c r="B21" s="1239" t="s">
        <v>805</v>
      </c>
      <c r="C21" s="1240"/>
      <c r="D21" s="1240"/>
      <c r="E21" s="1240"/>
      <c r="F21" s="1241"/>
      <c r="G21" s="62" t="s">
        <v>65</v>
      </c>
      <c r="H21" s="20">
        <f>H8</f>
        <v>3432</v>
      </c>
      <c r="I21" s="28">
        <f>I8</f>
        <v>2596</v>
      </c>
      <c r="J21" s="28">
        <f>J8</f>
        <v>472</v>
      </c>
      <c r="K21" s="28">
        <f>K8</f>
        <v>941</v>
      </c>
      <c r="L21" s="282">
        <f t="shared" si="0"/>
        <v>7441</v>
      </c>
    </row>
    <row r="22" spans="1:12" ht="30" customHeight="1">
      <c r="A22" s="202">
        <v>14</v>
      </c>
      <c r="B22" s="1334" t="s">
        <v>110</v>
      </c>
      <c r="C22" s="1335"/>
      <c r="D22" s="1335"/>
      <c r="E22" s="1335"/>
      <c r="F22" s="1336"/>
      <c r="G22" s="62" t="s">
        <v>63</v>
      </c>
      <c r="H22" s="20">
        <f>'Tab11 TEE'!I19</f>
        <v>4718.8499999999995</v>
      </c>
      <c r="I22" s="28">
        <f>'Tab11 TEE'!I29</f>
        <v>2973.7000000000003</v>
      </c>
      <c r="J22" s="28">
        <f>'Tab11 TEE'!I36</f>
        <v>486.16</v>
      </c>
      <c r="K22" s="28">
        <f>'Tab11 TEE'!I43</f>
        <v>969.23</v>
      </c>
      <c r="L22" s="282">
        <f t="shared" si="0"/>
        <v>9147.9399999999987</v>
      </c>
    </row>
    <row r="23" spans="1:12" ht="30" customHeight="1">
      <c r="A23" s="202">
        <v>15</v>
      </c>
      <c r="B23" s="1239" t="s">
        <v>111</v>
      </c>
      <c r="C23" s="1240"/>
      <c r="D23" s="1240"/>
      <c r="E23" s="1240"/>
      <c r="F23" s="1241"/>
      <c r="G23" s="62" t="s">
        <v>65</v>
      </c>
      <c r="H23" s="20">
        <f>H8</f>
        <v>3432</v>
      </c>
      <c r="I23" s="20">
        <f>I8</f>
        <v>2596</v>
      </c>
      <c r="J23" s="20">
        <f>J8</f>
        <v>472</v>
      </c>
      <c r="K23" s="20">
        <f>K8</f>
        <v>941</v>
      </c>
      <c r="L23" s="282">
        <f t="shared" si="0"/>
        <v>7441</v>
      </c>
    </row>
    <row r="24" spans="1:12" ht="30" customHeight="1">
      <c r="A24" s="202">
        <v>16</v>
      </c>
      <c r="B24" s="1334" t="s">
        <v>112</v>
      </c>
      <c r="C24" s="1335"/>
      <c r="D24" s="1335"/>
      <c r="E24" s="1335"/>
      <c r="F24" s="1336"/>
      <c r="G24" s="62" t="s">
        <v>63</v>
      </c>
      <c r="H24" s="20">
        <f>'Tab11 TEE'!G19</f>
        <v>1613.0399999999997</v>
      </c>
      <c r="I24" s="28">
        <f>'Tab11 TEE'!G29</f>
        <v>1220.1199999999999</v>
      </c>
      <c r="J24" s="28">
        <f>'Tab11 TEE'!G36</f>
        <v>221.83999999999997</v>
      </c>
      <c r="K24" s="28">
        <f>'Tab11 TEE'!G43</f>
        <v>442.27</v>
      </c>
      <c r="L24" s="282">
        <f t="shared" si="0"/>
        <v>3497.27</v>
      </c>
    </row>
    <row r="25" spans="1:12" ht="15.75">
      <c r="A25" s="202">
        <v>17</v>
      </c>
      <c r="B25" s="1340" t="s">
        <v>113</v>
      </c>
      <c r="C25" s="1341"/>
      <c r="D25" s="1341"/>
      <c r="E25" s="1341"/>
      <c r="F25" s="1341"/>
      <c r="G25" s="1341"/>
      <c r="H25" s="1341"/>
      <c r="I25" s="1341"/>
      <c r="J25" s="1341"/>
      <c r="K25" s="1341"/>
      <c r="L25" s="1342"/>
    </row>
    <row r="26" spans="1:12" ht="24.95" customHeight="1">
      <c r="A26" s="202">
        <v>18</v>
      </c>
      <c r="B26" s="1343" t="s">
        <v>114</v>
      </c>
      <c r="C26" s="1344"/>
      <c r="D26" s="1344"/>
      <c r="E26" s="1344"/>
      <c r="F26" s="1345"/>
      <c r="G26" s="291" t="s">
        <v>24</v>
      </c>
      <c r="H26" s="291">
        <v>20</v>
      </c>
      <c r="I26" s="327">
        <v>11</v>
      </c>
      <c r="J26" s="327">
        <v>2</v>
      </c>
      <c r="K26" s="327">
        <v>5</v>
      </c>
      <c r="L26" s="282">
        <f t="shared" ref="L26:L48" si="1">SUM(H26:K26)</f>
        <v>38</v>
      </c>
    </row>
    <row r="27" spans="1:12" ht="28.5" customHeight="1">
      <c r="A27" s="202">
        <v>19</v>
      </c>
      <c r="B27" s="1337" t="s">
        <v>808</v>
      </c>
      <c r="C27" s="1338"/>
      <c r="D27" s="1338"/>
      <c r="E27" s="1338"/>
      <c r="F27" s="1339"/>
      <c r="G27" s="62" t="s">
        <v>63</v>
      </c>
      <c r="H27" s="62">
        <f>H26*23</f>
        <v>460</v>
      </c>
      <c r="I27" s="62">
        <f>I26*23</f>
        <v>253</v>
      </c>
      <c r="J27" s="62">
        <f>J26*23</f>
        <v>46</v>
      </c>
      <c r="K27" s="62">
        <f>K26*23</f>
        <v>115</v>
      </c>
      <c r="L27" s="282">
        <f t="shared" si="1"/>
        <v>874</v>
      </c>
    </row>
    <row r="28" spans="1:12" s="146" customFormat="1" ht="45" customHeight="1">
      <c r="A28" s="202">
        <v>20</v>
      </c>
      <c r="B28" s="1337" t="s">
        <v>809</v>
      </c>
      <c r="C28" s="1338"/>
      <c r="D28" s="1338"/>
      <c r="E28" s="1338"/>
      <c r="F28" s="1339"/>
      <c r="G28" s="62" t="s">
        <v>94</v>
      </c>
      <c r="H28" s="62">
        <f>16*110</f>
        <v>1760</v>
      </c>
      <c r="I28" s="62">
        <f>7*110</f>
        <v>770</v>
      </c>
      <c r="J28" s="62">
        <f>J26*110</f>
        <v>220</v>
      </c>
      <c r="K28" s="62">
        <f>K26*110</f>
        <v>550</v>
      </c>
      <c r="L28" s="282">
        <f t="shared" si="1"/>
        <v>3300</v>
      </c>
    </row>
    <row r="29" spans="1:12" s="146" customFormat="1" ht="45" customHeight="1">
      <c r="A29" s="202">
        <v>21</v>
      </c>
      <c r="B29" s="1331" t="s">
        <v>582</v>
      </c>
      <c r="C29" s="1332"/>
      <c r="D29" s="1332"/>
      <c r="E29" s="1332"/>
      <c r="F29" s="1333"/>
      <c r="G29" s="62" t="s">
        <v>94</v>
      </c>
      <c r="H29" s="62">
        <f>4*110</f>
        <v>440</v>
      </c>
      <c r="I29" s="62">
        <f>4*110</f>
        <v>440</v>
      </c>
      <c r="J29" s="62"/>
      <c r="K29" s="62"/>
      <c r="L29" s="282">
        <f t="shared" si="1"/>
        <v>880</v>
      </c>
    </row>
    <row r="30" spans="1:12" ht="24.95" customHeight="1">
      <c r="A30" s="202">
        <v>22</v>
      </c>
      <c r="B30" s="1337" t="s">
        <v>115</v>
      </c>
      <c r="C30" s="1338"/>
      <c r="D30" s="1338"/>
      <c r="E30" s="1338"/>
      <c r="F30" s="1339"/>
      <c r="G30" s="62" t="s">
        <v>63</v>
      </c>
      <c r="H30" s="62">
        <f>H26*41</f>
        <v>820</v>
      </c>
      <c r="I30" s="62">
        <f>I26*41</f>
        <v>451</v>
      </c>
      <c r="J30" s="62">
        <f>J26*41</f>
        <v>82</v>
      </c>
      <c r="K30" s="62">
        <f>K26*41</f>
        <v>205</v>
      </c>
      <c r="L30" s="282">
        <f t="shared" si="1"/>
        <v>1558</v>
      </c>
    </row>
    <row r="31" spans="1:12">
      <c r="A31" s="202">
        <v>23</v>
      </c>
      <c r="B31" s="1346" t="s">
        <v>583</v>
      </c>
      <c r="C31" s="1347"/>
      <c r="D31" s="1347"/>
      <c r="E31" s="1347"/>
      <c r="F31" s="1348"/>
      <c r="G31" s="62" t="s">
        <v>17</v>
      </c>
      <c r="H31" s="62">
        <f>H26*0.03</f>
        <v>0.6</v>
      </c>
      <c r="I31" s="62">
        <f>I26*0.03</f>
        <v>0.32999999999999996</v>
      </c>
      <c r="J31" s="62">
        <f>J26*0.03</f>
        <v>0.06</v>
      </c>
      <c r="K31" s="62">
        <f>K26*0.03</f>
        <v>0.15</v>
      </c>
      <c r="L31" s="328">
        <f t="shared" si="1"/>
        <v>1.1399999999999999</v>
      </c>
    </row>
    <row r="32" spans="1:12">
      <c r="A32" s="202">
        <v>24</v>
      </c>
      <c r="B32" s="1346" t="s">
        <v>584</v>
      </c>
      <c r="C32" s="1347"/>
      <c r="D32" s="1347"/>
      <c r="E32" s="1347"/>
      <c r="F32" s="1348"/>
      <c r="G32" s="62" t="s">
        <v>17</v>
      </c>
      <c r="H32" s="62">
        <f>H26*0.03</f>
        <v>0.6</v>
      </c>
      <c r="I32" s="62">
        <f>I26*0.03</f>
        <v>0.32999999999999996</v>
      </c>
      <c r="J32" s="62">
        <f>J26*0.03</f>
        <v>0.06</v>
      </c>
      <c r="K32" s="62">
        <f>K26*0.03</f>
        <v>0.15</v>
      </c>
      <c r="L32" s="328">
        <f t="shared" si="1"/>
        <v>1.1399999999999999</v>
      </c>
    </row>
    <row r="33" spans="1:12" ht="24.95" customHeight="1">
      <c r="A33" s="202">
        <v>25</v>
      </c>
      <c r="B33" s="1343" t="s">
        <v>116</v>
      </c>
      <c r="C33" s="1344"/>
      <c r="D33" s="1344"/>
      <c r="E33" s="1344"/>
      <c r="F33" s="1345"/>
      <c r="G33" s="291" t="s">
        <v>24</v>
      </c>
      <c r="H33" s="291">
        <v>1</v>
      </c>
      <c r="I33" s="327">
        <v>1</v>
      </c>
      <c r="J33" s="327">
        <v>1</v>
      </c>
      <c r="K33" s="327">
        <v>1</v>
      </c>
      <c r="L33" s="282">
        <f t="shared" si="1"/>
        <v>4</v>
      </c>
    </row>
    <row r="34" spans="1:12" ht="28.5" customHeight="1">
      <c r="A34" s="202">
        <v>26</v>
      </c>
      <c r="B34" s="1337" t="s">
        <v>810</v>
      </c>
      <c r="C34" s="1338"/>
      <c r="D34" s="1338"/>
      <c r="E34" s="1338"/>
      <c r="F34" s="1339"/>
      <c r="G34" s="62" t="s">
        <v>63</v>
      </c>
      <c r="H34" s="62">
        <f>75*H33</f>
        <v>75</v>
      </c>
      <c r="I34" s="62">
        <f>75*I33</f>
        <v>75</v>
      </c>
      <c r="J34" s="62">
        <f>75*J33</f>
        <v>75</v>
      </c>
      <c r="K34" s="62">
        <f>75*K33</f>
        <v>75</v>
      </c>
      <c r="L34" s="282">
        <f t="shared" si="1"/>
        <v>300</v>
      </c>
    </row>
    <row r="35" spans="1:12" s="146" customFormat="1" ht="45" customHeight="1">
      <c r="A35" s="202">
        <v>27</v>
      </c>
      <c r="B35" s="1337" t="s">
        <v>811</v>
      </c>
      <c r="C35" s="1338"/>
      <c r="D35" s="1338"/>
      <c r="E35" s="1338"/>
      <c r="F35" s="1339"/>
      <c r="G35" s="62" t="s">
        <v>94</v>
      </c>
      <c r="H35" s="62">
        <f>453*H33</f>
        <v>453</v>
      </c>
      <c r="I35" s="62">
        <f>453*I33</f>
        <v>453</v>
      </c>
      <c r="J35" s="62">
        <f>453*J33</f>
        <v>453</v>
      </c>
      <c r="K35" s="62">
        <f>453*K33</f>
        <v>453</v>
      </c>
      <c r="L35" s="282">
        <f t="shared" si="1"/>
        <v>1812</v>
      </c>
    </row>
    <row r="36" spans="1:12" s="146" customFormat="1" ht="24.95" customHeight="1">
      <c r="A36" s="202">
        <v>28</v>
      </c>
      <c r="B36" s="1337" t="s">
        <v>117</v>
      </c>
      <c r="C36" s="1338"/>
      <c r="D36" s="1338"/>
      <c r="E36" s="1338"/>
      <c r="F36" s="1339"/>
      <c r="G36" s="62" t="s">
        <v>63</v>
      </c>
      <c r="H36" s="62">
        <f>130*H33</f>
        <v>130</v>
      </c>
      <c r="I36" s="62">
        <f>130*I33</f>
        <v>130</v>
      </c>
      <c r="J36" s="62">
        <f>130*J33</f>
        <v>130</v>
      </c>
      <c r="K36" s="62">
        <f>130*K33</f>
        <v>130</v>
      </c>
      <c r="L36" s="282">
        <f t="shared" si="1"/>
        <v>520</v>
      </c>
    </row>
    <row r="37" spans="1:12" s="146" customFormat="1" ht="24.95" customHeight="1">
      <c r="A37" s="202">
        <v>29</v>
      </c>
      <c r="B37" s="1337" t="s">
        <v>118</v>
      </c>
      <c r="C37" s="1338"/>
      <c r="D37" s="1338"/>
      <c r="E37" s="1338"/>
      <c r="F37" s="1339"/>
      <c r="G37" s="62" t="s">
        <v>63</v>
      </c>
      <c r="H37" s="62">
        <f>42*H33</f>
        <v>42</v>
      </c>
      <c r="I37" s="62">
        <f>42*I33</f>
        <v>42</v>
      </c>
      <c r="J37" s="62">
        <f>42*J33</f>
        <v>42</v>
      </c>
      <c r="K37" s="62">
        <f>42*K33</f>
        <v>42</v>
      </c>
      <c r="L37" s="282">
        <f t="shared" si="1"/>
        <v>168</v>
      </c>
    </row>
    <row r="38" spans="1:12" s="146" customFormat="1">
      <c r="A38" s="202">
        <v>30</v>
      </c>
      <c r="B38" s="1346" t="s">
        <v>583</v>
      </c>
      <c r="C38" s="1347"/>
      <c r="D38" s="1347"/>
      <c r="E38" s="1347"/>
      <c r="F38" s="1348"/>
      <c r="G38" s="62" t="s">
        <v>17</v>
      </c>
      <c r="H38" s="62">
        <f>0.08*H33</f>
        <v>0.08</v>
      </c>
      <c r="I38" s="62">
        <f>0.08*I33</f>
        <v>0.08</v>
      </c>
      <c r="J38" s="62">
        <f>0.08*J33</f>
        <v>0.08</v>
      </c>
      <c r="K38" s="62">
        <f>0.08*K33</f>
        <v>0.08</v>
      </c>
      <c r="L38" s="328">
        <f t="shared" si="1"/>
        <v>0.32</v>
      </c>
    </row>
    <row r="39" spans="1:12" s="146" customFormat="1">
      <c r="A39" s="202">
        <v>31</v>
      </c>
      <c r="B39" s="1346" t="s">
        <v>584</v>
      </c>
      <c r="C39" s="1347"/>
      <c r="D39" s="1347"/>
      <c r="E39" s="1347"/>
      <c r="F39" s="1348"/>
      <c r="G39" s="62" t="s">
        <v>17</v>
      </c>
      <c r="H39" s="62">
        <f>H33*0.08</f>
        <v>0.08</v>
      </c>
      <c r="I39" s="62">
        <f>I33*0.08</f>
        <v>0.08</v>
      </c>
      <c r="J39" s="62">
        <f>J33*0.08</f>
        <v>0.08</v>
      </c>
      <c r="K39" s="62">
        <f>K33*0.08</f>
        <v>0.08</v>
      </c>
      <c r="L39" s="328">
        <f t="shared" si="1"/>
        <v>0.32</v>
      </c>
    </row>
    <row r="40" spans="1:12" s="146" customFormat="1">
      <c r="A40" s="202">
        <v>32</v>
      </c>
      <c r="B40" s="1337" t="s">
        <v>119</v>
      </c>
      <c r="C40" s="1338"/>
      <c r="D40" s="1338"/>
      <c r="E40" s="1338"/>
      <c r="F40" s="1339"/>
      <c r="G40" s="62" t="s">
        <v>24</v>
      </c>
      <c r="H40" s="62">
        <f>2*H33</f>
        <v>2</v>
      </c>
      <c r="I40" s="62">
        <f>2*I33</f>
        <v>2</v>
      </c>
      <c r="J40" s="62">
        <f>2*J33</f>
        <v>2</v>
      </c>
      <c r="K40" s="62">
        <f>2*K33</f>
        <v>2</v>
      </c>
      <c r="L40" s="13">
        <f>2*L33</f>
        <v>8</v>
      </c>
    </row>
    <row r="41" spans="1:12" s="146" customFormat="1">
      <c r="A41" s="202">
        <v>33</v>
      </c>
      <c r="B41" s="1337" t="s">
        <v>586</v>
      </c>
      <c r="C41" s="1338"/>
      <c r="D41" s="1338"/>
      <c r="E41" s="1338"/>
      <c r="F41" s="1339"/>
      <c r="G41" s="62" t="s">
        <v>24</v>
      </c>
      <c r="H41" s="62">
        <f>H33</f>
        <v>1</v>
      </c>
      <c r="I41" s="62">
        <f>I33</f>
        <v>1</v>
      </c>
      <c r="J41" s="62">
        <f>J33</f>
        <v>1</v>
      </c>
      <c r="K41" s="62">
        <f>K33</f>
        <v>1</v>
      </c>
      <c r="L41" s="13">
        <f>L33</f>
        <v>4</v>
      </c>
    </row>
    <row r="42" spans="1:12">
      <c r="A42" s="202">
        <v>34</v>
      </c>
      <c r="B42" s="1352" t="s">
        <v>585</v>
      </c>
      <c r="C42" s="1353"/>
      <c r="D42" s="1353"/>
      <c r="E42" s="1353"/>
      <c r="F42" s="1354"/>
      <c r="G42" s="291" t="s">
        <v>24</v>
      </c>
      <c r="H42" s="291">
        <v>1</v>
      </c>
      <c r="I42" s="327">
        <v>1</v>
      </c>
      <c r="J42" s="327"/>
      <c r="K42" s="327">
        <v>1</v>
      </c>
      <c r="L42" s="282">
        <f t="shared" si="1"/>
        <v>3</v>
      </c>
    </row>
    <row r="43" spans="1:12" ht="27" customHeight="1">
      <c r="A43" s="202">
        <v>35</v>
      </c>
      <c r="B43" s="1337" t="s">
        <v>828</v>
      </c>
      <c r="C43" s="1338"/>
      <c r="D43" s="1338"/>
      <c r="E43" s="1338"/>
      <c r="F43" s="1339"/>
      <c r="G43" s="62" t="s">
        <v>63</v>
      </c>
      <c r="H43" s="62">
        <f>160*H42</f>
        <v>160</v>
      </c>
      <c r="I43" s="62">
        <f>160*I42</f>
        <v>160</v>
      </c>
      <c r="J43" s="62"/>
      <c r="K43" s="62">
        <f>160*K42</f>
        <v>160</v>
      </c>
      <c r="L43" s="282">
        <f t="shared" si="1"/>
        <v>480</v>
      </c>
    </row>
    <row r="44" spans="1:12" s="146" customFormat="1" ht="45" customHeight="1">
      <c r="A44" s="202">
        <v>36</v>
      </c>
      <c r="B44" s="1337" t="s">
        <v>811</v>
      </c>
      <c r="C44" s="1338"/>
      <c r="D44" s="1338"/>
      <c r="E44" s="1338"/>
      <c r="F44" s="1339"/>
      <c r="G44" s="62" t="s">
        <v>94</v>
      </c>
      <c r="H44" s="62">
        <f>800*H42</f>
        <v>800</v>
      </c>
      <c r="I44" s="62">
        <f>800*I42</f>
        <v>800</v>
      </c>
      <c r="J44" s="62"/>
      <c r="K44" s="62">
        <f>800*K42</f>
        <v>800</v>
      </c>
      <c r="L44" s="282">
        <f t="shared" si="1"/>
        <v>2400</v>
      </c>
    </row>
    <row r="45" spans="1:12" s="146" customFormat="1" ht="28.5" customHeight="1">
      <c r="A45" s="202">
        <v>37</v>
      </c>
      <c r="B45" s="1337" t="s">
        <v>117</v>
      </c>
      <c r="C45" s="1338"/>
      <c r="D45" s="1338"/>
      <c r="E45" s="1338"/>
      <c r="F45" s="1339"/>
      <c r="G45" s="62" t="s">
        <v>63</v>
      </c>
      <c r="H45" s="62">
        <f>225*H42</f>
        <v>225</v>
      </c>
      <c r="I45" s="62">
        <f>225*I42</f>
        <v>225</v>
      </c>
      <c r="J45" s="62"/>
      <c r="K45" s="62">
        <f>225*K42</f>
        <v>225</v>
      </c>
      <c r="L45" s="282">
        <f t="shared" si="1"/>
        <v>675</v>
      </c>
    </row>
    <row r="46" spans="1:12" ht="27.75" customHeight="1">
      <c r="A46" s="202">
        <v>38</v>
      </c>
      <c r="B46" s="1337" t="s">
        <v>118</v>
      </c>
      <c r="C46" s="1338"/>
      <c r="D46" s="1338"/>
      <c r="E46" s="1338"/>
      <c r="F46" s="1339"/>
      <c r="G46" s="62" t="s">
        <v>63</v>
      </c>
      <c r="H46" s="62">
        <f>70*H42</f>
        <v>70</v>
      </c>
      <c r="I46" s="62">
        <f>70*I42</f>
        <v>70</v>
      </c>
      <c r="J46" s="62"/>
      <c r="K46" s="62">
        <f>70*K42</f>
        <v>70</v>
      </c>
      <c r="L46" s="282">
        <f t="shared" si="1"/>
        <v>210</v>
      </c>
    </row>
    <row r="47" spans="1:12">
      <c r="A47" s="202">
        <v>39</v>
      </c>
      <c r="B47" s="1346" t="s">
        <v>583</v>
      </c>
      <c r="C47" s="1347"/>
      <c r="D47" s="1347"/>
      <c r="E47" s="1347"/>
      <c r="F47" s="1348"/>
      <c r="G47" s="62" t="s">
        <v>17</v>
      </c>
      <c r="H47" s="62">
        <f>0.14*H42</f>
        <v>0.14000000000000001</v>
      </c>
      <c r="I47" s="62">
        <f>0.14*I42</f>
        <v>0.14000000000000001</v>
      </c>
      <c r="J47" s="62"/>
      <c r="K47" s="62">
        <f>0.14*K42</f>
        <v>0.14000000000000001</v>
      </c>
      <c r="L47" s="328">
        <f t="shared" si="1"/>
        <v>0.42000000000000004</v>
      </c>
    </row>
    <row r="48" spans="1:12">
      <c r="A48" s="202">
        <v>40</v>
      </c>
      <c r="B48" s="1346" t="s">
        <v>584</v>
      </c>
      <c r="C48" s="1347"/>
      <c r="D48" s="1347"/>
      <c r="E48" s="1347"/>
      <c r="F48" s="1348"/>
      <c r="G48" s="62" t="s">
        <v>17</v>
      </c>
      <c r="H48" s="62">
        <f>0.14*H42</f>
        <v>0.14000000000000001</v>
      </c>
      <c r="I48" s="62">
        <f>0.14*I42</f>
        <v>0.14000000000000001</v>
      </c>
      <c r="J48" s="62"/>
      <c r="K48" s="62">
        <f>0.14*K42</f>
        <v>0.14000000000000001</v>
      </c>
      <c r="L48" s="328">
        <f t="shared" si="1"/>
        <v>0.42000000000000004</v>
      </c>
    </row>
    <row r="49" spans="1:12">
      <c r="A49" s="202">
        <v>41</v>
      </c>
      <c r="B49" s="1318" t="s">
        <v>120</v>
      </c>
      <c r="C49" s="1319"/>
      <c r="D49" s="1319"/>
      <c r="E49" s="1319"/>
      <c r="F49" s="1319"/>
      <c r="G49" s="1319"/>
      <c r="H49" s="1319"/>
      <c r="I49" s="1319"/>
      <c r="J49" s="1319"/>
      <c r="K49" s="1319"/>
      <c r="L49" s="1320"/>
    </row>
    <row r="50" spans="1:12" ht="15.75" thickBot="1">
      <c r="A50" s="202">
        <v>42</v>
      </c>
      <c r="B50" s="1349" t="s">
        <v>98</v>
      </c>
      <c r="C50" s="1350"/>
      <c r="D50" s="1350"/>
      <c r="E50" s="1350"/>
      <c r="F50" s="1351"/>
      <c r="G50" s="79" t="s">
        <v>99</v>
      </c>
      <c r="H50" s="90">
        <v>1</v>
      </c>
      <c r="I50" s="232">
        <v>1</v>
      </c>
      <c r="J50" s="232">
        <v>1</v>
      </c>
      <c r="K50" s="232">
        <v>1</v>
      </c>
      <c r="L50" s="330">
        <f>SUM(H50:K50)</f>
        <v>4</v>
      </c>
    </row>
    <row r="51" spans="1:12">
      <c r="A51" s="3"/>
      <c r="B51" s="630"/>
      <c r="C51" s="52"/>
      <c r="D51" s="333"/>
      <c r="E51" s="333"/>
      <c r="F51" s="333"/>
      <c r="G51" s="55"/>
      <c r="H51" s="45"/>
      <c r="I51" s="45"/>
      <c r="J51" s="45"/>
      <c r="K51" s="45"/>
      <c r="L51" s="334"/>
    </row>
    <row r="52" spans="1:12">
      <c r="B52" s="630"/>
      <c r="C52" s="52"/>
    </row>
    <row r="56" spans="1:12">
      <c r="B56" s="3"/>
      <c r="C56" s="3"/>
      <c r="D56" s="3"/>
      <c r="E56" s="3"/>
    </row>
    <row r="57" spans="1:12">
      <c r="A57" s="45"/>
      <c r="B57" s="52"/>
      <c r="C57" s="52"/>
      <c r="D57" s="52"/>
      <c r="E57" s="52"/>
    </row>
    <row r="58" spans="1:12">
      <c r="A58" s="45"/>
      <c r="B58" s="52"/>
      <c r="C58" s="52"/>
      <c r="D58" s="52"/>
      <c r="E58" s="52"/>
    </row>
    <row r="59" spans="1:12">
      <c r="A59" s="45"/>
      <c r="B59" s="52"/>
      <c r="C59" s="52"/>
      <c r="D59" s="52"/>
      <c r="E59" s="52"/>
    </row>
    <row r="60" spans="1:12">
      <c r="A60" s="45"/>
      <c r="C60" s="52"/>
      <c r="D60" s="52"/>
      <c r="E60" s="52"/>
    </row>
    <row r="61" spans="1:12">
      <c r="A61" s="45"/>
      <c r="C61" s="52"/>
      <c r="D61" s="52"/>
      <c r="E61" s="52"/>
    </row>
    <row r="62" spans="1:12">
      <c r="A62" s="154"/>
      <c r="B62" s="331"/>
      <c r="C62" s="331"/>
      <c r="D62" s="332"/>
      <c r="E62" s="332"/>
      <c r="F62" s="332"/>
      <c r="G62" s="332"/>
    </row>
    <row r="63" spans="1:12">
      <c r="A63" s="154"/>
      <c r="B63" s="331"/>
      <c r="C63" s="331"/>
      <c r="D63" s="332"/>
      <c r="E63" s="332"/>
      <c r="F63" s="332"/>
      <c r="G63" s="332"/>
    </row>
    <row r="64" spans="1:12">
      <c r="A64" s="154"/>
      <c r="B64" s="331"/>
      <c r="C64" s="331"/>
      <c r="D64" s="332"/>
      <c r="E64" s="332"/>
      <c r="F64" s="332"/>
      <c r="G64" s="332"/>
    </row>
    <row r="65" spans="1:7">
      <c r="A65" s="154"/>
      <c r="B65" s="331"/>
      <c r="C65" s="331"/>
      <c r="D65" s="332"/>
      <c r="E65" s="332"/>
      <c r="F65" s="332"/>
      <c r="G65" s="332"/>
    </row>
    <row r="66" spans="1:7">
      <c r="A66" s="154"/>
      <c r="B66" s="331"/>
      <c r="C66" s="331"/>
      <c r="D66" s="332"/>
      <c r="E66" s="332"/>
      <c r="F66" s="332"/>
      <c r="G66" s="332"/>
    </row>
    <row r="67" spans="1:7">
      <c r="A67" s="154"/>
      <c r="B67" s="331"/>
      <c r="C67" s="331"/>
      <c r="D67" s="332"/>
      <c r="E67" s="332"/>
      <c r="F67" s="332"/>
      <c r="G67" s="332"/>
    </row>
    <row r="68" spans="1:7">
      <c r="A68" s="154"/>
      <c r="B68" s="331"/>
      <c r="C68" s="331"/>
      <c r="D68" s="332"/>
      <c r="E68" s="332"/>
      <c r="F68" s="332"/>
      <c r="G68" s="332"/>
    </row>
    <row r="69" spans="1:7">
      <c r="A69" s="154"/>
      <c r="B69" s="331"/>
      <c r="C69" s="332"/>
      <c r="D69" s="332"/>
      <c r="E69" s="332"/>
      <c r="F69" s="332"/>
      <c r="G69" s="332"/>
    </row>
  </sheetData>
  <mergeCells count="51">
    <mergeCell ref="B38:F38"/>
    <mergeCell ref="B41:F41"/>
    <mergeCell ref="B40:F40"/>
    <mergeCell ref="B33:F33"/>
    <mergeCell ref="B27:F27"/>
    <mergeCell ref="B39:F39"/>
    <mergeCell ref="B29:F29"/>
    <mergeCell ref="B36:F36"/>
    <mergeCell ref="B49:L49"/>
    <mergeCell ref="B50:F50"/>
    <mergeCell ref="B42:F42"/>
    <mergeCell ref="B43:F43"/>
    <mergeCell ref="B44:F44"/>
    <mergeCell ref="B45:F45"/>
    <mergeCell ref="B46:F46"/>
    <mergeCell ref="B47:F47"/>
    <mergeCell ref="B48:F48"/>
    <mergeCell ref="B19:F19"/>
    <mergeCell ref="B21:F21"/>
    <mergeCell ref="B22:F22"/>
    <mergeCell ref="B37:F37"/>
    <mergeCell ref="B23:F23"/>
    <mergeCell ref="B24:F24"/>
    <mergeCell ref="B25:L25"/>
    <mergeCell ref="B26:F26"/>
    <mergeCell ref="B20:F20"/>
    <mergeCell ref="B31:F31"/>
    <mergeCell ref="B32:F32"/>
    <mergeCell ref="B28:F28"/>
    <mergeCell ref="B30:F30"/>
    <mergeCell ref="B34:F34"/>
    <mergeCell ref="B35:F35"/>
    <mergeCell ref="B7:F7"/>
    <mergeCell ref="B8:F8"/>
    <mergeCell ref="B9:L9"/>
    <mergeCell ref="B10:F10"/>
    <mergeCell ref="B18:L18"/>
    <mergeCell ref="B16:F16"/>
    <mergeCell ref="B14:F14"/>
    <mergeCell ref="B17:F17"/>
    <mergeCell ref="B15:F15"/>
    <mergeCell ref="B11:F11"/>
    <mergeCell ref="B12:L12"/>
    <mergeCell ref="B13:F13"/>
    <mergeCell ref="A3:A6"/>
    <mergeCell ref="B3:F6"/>
    <mergeCell ref="G3:G6"/>
    <mergeCell ref="L3:L6"/>
    <mergeCell ref="H3:K3"/>
    <mergeCell ref="H4:K4"/>
    <mergeCell ref="H5:I5"/>
  </mergeCells>
  <phoneticPr fontId="59" type="noConversion"/>
  <pageMargins left="0.51181102362204722" right="0" top="0.19685039370078741" bottom="0" header="0.31496062992125984" footer="0.31496062992125984"/>
  <pageSetup paperSize="9" scale="85" orientation="portrait" r:id="rId1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25" workbookViewId="0">
      <selection activeCell="L31" sqref="L31:O38"/>
    </sheetView>
    <sheetView workbookViewId="1"/>
  </sheetViews>
  <sheetFormatPr defaultRowHeight="15"/>
  <sheetData>
    <row r="1" spans="1:9" ht="15.75">
      <c r="A1" s="1" t="s">
        <v>121</v>
      </c>
    </row>
    <row r="2" spans="1:9" ht="15.75" thickBot="1"/>
    <row r="3" spans="1:9">
      <c r="A3" s="1355" t="s">
        <v>41</v>
      </c>
      <c r="B3" s="1362" t="s">
        <v>122</v>
      </c>
      <c r="C3" s="1363"/>
      <c r="D3" s="1363"/>
      <c r="E3" s="1363"/>
      <c r="F3" s="1363"/>
      <c r="G3" s="1364"/>
      <c r="H3" s="1355" t="s">
        <v>11</v>
      </c>
      <c r="I3" s="1355" t="s">
        <v>123</v>
      </c>
    </row>
    <row r="4" spans="1:9" ht="15.75" thickBot="1">
      <c r="A4" s="1356"/>
      <c r="B4" s="1365"/>
      <c r="C4" s="1366"/>
      <c r="D4" s="1366"/>
      <c r="E4" s="1366"/>
      <c r="F4" s="1366"/>
      <c r="G4" s="1367"/>
      <c r="H4" s="1356"/>
      <c r="I4" s="1356"/>
    </row>
    <row r="5" spans="1:9" ht="15.75" thickBot="1">
      <c r="A5" s="91" t="s">
        <v>45</v>
      </c>
      <c r="B5" s="1357" t="s">
        <v>46</v>
      </c>
      <c r="C5" s="1357"/>
      <c r="D5" s="1357"/>
      <c r="E5" s="1357"/>
      <c r="F5" s="1357"/>
      <c r="G5" s="1357"/>
      <c r="H5" s="92" t="s">
        <v>47</v>
      </c>
      <c r="I5" s="93" t="s">
        <v>48</v>
      </c>
    </row>
    <row r="6" spans="1:9" ht="15.75" thickBot="1">
      <c r="A6" s="94">
        <v>1</v>
      </c>
      <c r="B6" s="1181" t="s">
        <v>124</v>
      </c>
      <c r="C6" s="1182"/>
      <c r="D6" s="1182"/>
      <c r="E6" s="1182"/>
      <c r="F6" s="1182"/>
      <c r="G6" s="1182"/>
      <c r="H6" s="95"/>
      <c r="I6" s="96"/>
    </row>
    <row r="7" spans="1:9">
      <c r="A7" s="97">
        <v>2</v>
      </c>
      <c r="B7" s="1368" t="s">
        <v>125</v>
      </c>
      <c r="C7" s="1369"/>
      <c r="D7" s="1369"/>
      <c r="E7" s="1369"/>
      <c r="F7" s="1369"/>
      <c r="G7" s="1369"/>
      <c r="H7" s="339" t="s">
        <v>65</v>
      </c>
      <c r="I7" s="94">
        <f>'Tab8'!AC172*8</f>
        <v>312</v>
      </c>
    </row>
    <row r="8" spans="1:9">
      <c r="A8" s="97">
        <v>3</v>
      </c>
      <c r="B8" s="1360" t="str">
        <f>'Tab10'!B20</f>
        <v>plasttruup Ø40 cm, tüüp 40PT, SN8</v>
      </c>
      <c r="C8" s="1361"/>
      <c r="D8" s="1361"/>
      <c r="E8" s="1361"/>
      <c r="F8" s="1361"/>
      <c r="G8" s="1358"/>
      <c r="H8" s="339" t="s">
        <v>65</v>
      </c>
      <c r="I8" s="150">
        <f>'Tab10'!J20</f>
        <v>397</v>
      </c>
    </row>
    <row r="9" spans="1:9" ht="15" customHeight="1">
      <c r="A9" s="97">
        <v>4</v>
      </c>
      <c r="B9" s="1360" t="str">
        <f>'Tab10'!B21</f>
        <v>plasttruup Ø50 cm, tüüp 50PT, SN8</v>
      </c>
      <c r="C9" s="1361"/>
      <c r="D9" s="1361"/>
      <c r="E9" s="1361"/>
      <c r="F9" s="1361"/>
      <c r="G9" s="1358"/>
      <c r="H9" s="339" t="s">
        <v>65</v>
      </c>
      <c r="I9" s="150">
        <f>'Tab10'!J21</f>
        <v>10</v>
      </c>
    </row>
    <row r="10" spans="1:9">
      <c r="A10" s="97">
        <v>5</v>
      </c>
      <c r="B10" s="1360" t="str">
        <f>'Tab10'!B22</f>
        <v>plasttruup Ø60 cm, tüüp 60PT, SN8</v>
      </c>
      <c r="C10" s="1361"/>
      <c r="D10" s="1361"/>
      <c r="E10" s="1361"/>
      <c r="F10" s="1361"/>
      <c r="G10" s="1358"/>
      <c r="H10" s="339" t="s">
        <v>65</v>
      </c>
      <c r="I10" s="150">
        <f>'Tab10'!J22</f>
        <v>22</v>
      </c>
    </row>
    <row r="11" spans="1:9" ht="15" customHeight="1">
      <c r="A11" s="97">
        <v>6</v>
      </c>
      <c r="B11" s="1360" t="str">
        <f>'Tab10'!B23</f>
        <v>plasttruup Ø100 cm, tüüp 100PT, SN8</v>
      </c>
      <c r="C11" s="1361"/>
      <c r="D11" s="1361"/>
      <c r="E11" s="1361"/>
      <c r="F11" s="1361"/>
      <c r="G11" s="1358"/>
      <c r="H11" s="339" t="s">
        <v>65</v>
      </c>
      <c r="I11" s="150">
        <f>'Tab10'!J23</f>
        <v>12</v>
      </c>
    </row>
    <row r="12" spans="1:9">
      <c r="A12" s="97">
        <v>8</v>
      </c>
      <c r="B12" s="1358" t="s">
        <v>126</v>
      </c>
      <c r="C12" s="1359"/>
      <c r="D12" s="1359"/>
      <c r="E12" s="1359"/>
      <c r="F12" s="1359"/>
      <c r="G12" s="1359"/>
      <c r="H12" s="339" t="s">
        <v>63</v>
      </c>
      <c r="I12" s="150">
        <f>'Tab10'!F54</f>
        <v>140.69999999999999</v>
      </c>
    </row>
    <row r="13" spans="1:9">
      <c r="A13" s="97">
        <v>9</v>
      </c>
      <c r="B13" s="1358" t="s">
        <v>127</v>
      </c>
      <c r="C13" s="1359"/>
      <c r="D13" s="1359"/>
      <c r="E13" s="1359"/>
      <c r="F13" s="1359"/>
      <c r="G13" s="1359"/>
      <c r="H13" s="339" t="s">
        <v>94</v>
      </c>
      <c r="I13" s="485">
        <f>'Tab10'!H54+(5*10)</f>
        <v>812.2</v>
      </c>
    </row>
    <row r="14" spans="1:9">
      <c r="A14" s="97">
        <v>10</v>
      </c>
      <c r="B14" s="1358" t="s">
        <v>128</v>
      </c>
      <c r="C14" s="1359"/>
      <c r="D14" s="1359"/>
      <c r="E14" s="1359"/>
      <c r="F14" s="1359"/>
      <c r="G14" s="1359"/>
      <c r="H14" s="339" t="s">
        <v>63</v>
      </c>
      <c r="I14" s="485">
        <f>'Tab10'!J54</f>
        <v>127.10000000000002</v>
      </c>
    </row>
    <row r="15" spans="1:9" ht="15" customHeight="1">
      <c r="A15" s="97">
        <v>11</v>
      </c>
      <c r="B15" s="1358" t="s">
        <v>129</v>
      </c>
      <c r="C15" s="1359"/>
      <c r="D15" s="1359"/>
      <c r="E15" s="1359"/>
      <c r="F15" s="1359"/>
      <c r="G15" s="1359"/>
      <c r="H15" s="339" t="s">
        <v>94</v>
      </c>
      <c r="I15" s="485">
        <f>'Tab10'!L54</f>
        <v>3064</v>
      </c>
    </row>
    <row r="16" spans="1:9">
      <c r="A16" s="97">
        <v>12</v>
      </c>
      <c r="B16" s="1358" t="s">
        <v>130</v>
      </c>
      <c r="C16" s="1359"/>
      <c r="D16" s="1359"/>
      <c r="E16" s="1359"/>
      <c r="F16" s="1359"/>
      <c r="G16" s="1359"/>
      <c r="H16" s="339" t="s">
        <v>96</v>
      </c>
      <c r="I16" s="150">
        <f>'Tab10'!N54</f>
        <v>75.899999999999991</v>
      </c>
    </row>
    <row r="17" spans="1:14">
      <c r="A17" s="97">
        <v>13</v>
      </c>
      <c r="B17" s="1360" t="s">
        <v>131</v>
      </c>
      <c r="C17" s="1361"/>
      <c r="D17" s="1361"/>
      <c r="E17" s="1361"/>
      <c r="F17" s="1361"/>
      <c r="G17" s="1358"/>
      <c r="H17" s="339" t="s">
        <v>24</v>
      </c>
      <c r="I17" s="485">
        <f>'Tab10'!P54</f>
        <v>14145</v>
      </c>
    </row>
    <row r="18" spans="1:14">
      <c r="A18" s="97">
        <v>14</v>
      </c>
      <c r="B18" s="1360" t="s">
        <v>132</v>
      </c>
      <c r="C18" s="1361"/>
      <c r="D18" s="1361"/>
      <c r="E18" s="1361"/>
      <c r="F18" s="1361"/>
      <c r="G18" s="1358"/>
      <c r="H18" s="339" t="s">
        <v>63</v>
      </c>
      <c r="I18" s="150">
        <f>'Tab10'!J38</f>
        <v>616</v>
      </c>
    </row>
    <row r="19" spans="1:14">
      <c r="A19" s="97">
        <v>15</v>
      </c>
      <c r="B19" s="1360" t="s">
        <v>133</v>
      </c>
      <c r="C19" s="1361"/>
      <c r="D19" s="1361"/>
      <c r="E19" s="1361"/>
      <c r="F19" s="1361"/>
      <c r="G19" s="1358"/>
      <c r="H19" s="339" t="s">
        <v>24</v>
      </c>
      <c r="I19" s="150">
        <f>'Tab10'!J35</f>
        <v>26</v>
      </c>
    </row>
    <row r="20" spans="1:14">
      <c r="A20" s="97">
        <v>16</v>
      </c>
      <c r="B20" s="1358" t="s">
        <v>134</v>
      </c>
      <c r="C20" s="1359"/>
      <c r="D20" s="1359"/>
      <c r="E20" s="1359"/>
      <c r="F20" s="1359"/>
      <c r="G20" s="1359"/>
      <c r="H20" s="339" t="s">
        <v>63</v>
      </c>
      <c r="I20" s="150">
        <f>'Tab10'!J37</f>
        <v>60</v>
      </c>
    </row>
    <row r="21" spans="1:14" ht="15.75" thickBot="1">
      <c r="A21" s="97">
        <v>17</v>
      </c>
      <c r="B21" s="1373" t="s">
        <v>136</v>
      </c>
      <c r="C21" s="1374"/>
      <c r="D21" s="1374"/>
      <c r="E21" s="1374"/>
      <c r="F21" s="1374"/>
      <c r="G21" s="1374"/>
      <c r="H21" s="340"/>
      <c r="I21" s="341"/>
    </row>
    <row r="22" spans="1:14" ht="15.75" thickBot="1">
      <c r="A22" s="97">
        <v>18</v>
      </c>
      <c r="B22" s="1181" t="s">
        <v>734</v>
      </c>
      <c r="C22" s="1182"/>
      <c r="D22" s="1182"/>
      <c r="E22" s="1182"/>
      <c r="F22" s="1182"/>
      <c r="G22" s="1182"/>
      <c r="H22" s="1789" t="s">
        <v>24</v>
      </c>
      <c r="I22" s="486">
        <v>2</v>
      </c>
    </row>
    <row r="23" spans="1:14">
      <c r="A23" s="97">
        <v>19</v>
      </c>
      <c r="B23" s="1358" t="s">
        <v>127</v>
      </c>
      <c r="C23" s="1359"/>
      <c r="D23" s="1359"/>
      <c r="E23" s="1359"/>
      <c r="F23" s="1359"/>
      <c r="G23" s="1359"/>
      <c r="H23" s="339" t="s">
        <v>94</v>
      </c>
      <c r="I23" s="94">
        <f>I22*10</f>
        <v>20</v>
      </c>
    </row>
    <row r="24" spans="1:14">
      <c r="A24" s="97">
        <v>20</v>
      </c>
      <c r="B24" s="1358" t="s">
        <v>126</v>
      </c>
      <c r="C24" s="1359"/>
      <c r="D24" s="1359"/>
      <c r="E24" s="1359"/>
      <c r="F24" s="1359"/>
      <c r="G24" s="1359"/>
      <c r="H24" s="339" t="s">
        <v>63</v>
      </c>
      <c r="I24" s="97">
        <f>I22*5</f>
        <v>10</v>
      </c>
    </row>
    <row r="25" spans="1:14" ht="15.75" thickBot="1">
      <c r="A25" s="97">
        <v>21</v>
      </c>
      <c r="B25" s="1373" t="s">
        <v>137</v>
      </c>
      <c r="C25" s="1374"/>
      <c r="D25" s="1374"/>
      <c r="E25" s="1374"/>
      <c r="F25" s="1374"/>
      <c r="G25" s="1374"/>
      <c r="H25" s="340"/>
      <c r="I25" s="342"/>
    </row>
    <row r="26" spans="1:14" ht="15.75" thickBot="1">
      <c r="A26" s="97">
        <v>22</v>
      </c>
      <c r="B26" s="1181" t="s">
        <v>138</v>
      </c>
      <c r="C26" s="1182"/>
      <c r="D26" s="1182"/>
      <c r="E26" s="1182"/>
      <c r="F26" s="1182"/>
      <c r="G26" s="1182"/>
      <c r="H26" s="95"/>
      <c r="I26" s="96"/>
    </row>
    <row r="27" spans="1:14">
      <c r="A27" s="97">
        <v>23</v>
      </c>
      <c r="B27" s="1358" t="s">
        <v>129</v>
      </c>
      <c r="C27" s="1359"/>
      <c r="D27" s="1359"/>
      <c r="E27" s="1359"/>
      <c r="F27" s="1359"/>
      <c r="G27" s="1359"/>
      <c r="H27" s="339" t="s">
        <v>94</v>
      </c>
      <c r="I27" s="484">
        <f>Tab13.!J7</f>
        <v>2798.9</v>
      </c>
    </row>
    <row r="28" spans="1:14" ht="15.75" thickBot="1">
      <c r="A28" s="97">
        <v>24</v>
      </c>
      <c r="B28" s="1375" t="s">
        <v>137</v>
      </c>
      <c r="C28" s="1376"/>
      <c r="D28" s="1376"/>
      <c r="E28" s="1376"/>
      <c r="F28" s="1376"/>
      <c r="G28" s="1376"/>
      <c r="H28" s="100"/>
      <c r="I28" s="101"/>
    </row>
    <row r="29" spans="1:14" ht="15.75" thickBot="1">
      <c r="A29" s="97">
        <v>25</v>
      </c>
      <c r="B29" s="1181" t="s">
        <v>139</v>
      </c>
      <c r="C29" s="1182"/>
      <c r="D29" s="1182"/>
      <c r="E29" s="1182"/>
      <c r="F29" s="1182"/>
      <c r="G29" s="1182"/>
      <c r="H29" s="1182"/>
      <c r="I29" s="1377"/>
    </row>
    <row r="30" spans="1:14" ht="26.25" thickBot="1">
      <c r="A30" s="97">
        <v>26</v>
      </c>
      <c r="B30" s="1370" t="s">
        <v>140</v>
      </c>
      <c r="C30" s="1371"/>
      <c r="D30" s="1372"/>
      <c r="E30" s="102" t="s">
        <v>11</v>
      </c>
      <c r="F30" s="102" t="s">
        <v>587</v>
      </c>
      <c r="G30" s="102" t="s">
        <v>588</v>
      </c>
      <c r="H30" s="102" t="s">
        <v>589</v>
      </c>
      <c r="I30" s="102" t="s">
        <v>141</v>
      </c>
    </row>
    <row r="31" spans="1:14">
      <c r="A31" s="97">
        <v>27</v>
      </c>
      <c r="B31" s="1379" t="s">
        <v>142</v>
      </c>
      <c r="C31" s="1380"/>
      <c r="D31" s="1380"/>
      <c r="E31" s="129" t="s">
        <v>63</v>
      </c>
      <c r="F31" s="994">
        <f>Tab2b!H24+Tab2b!I24+Tab2b!H37+Tab2b!I37+Tab2b!H46+Tab2b!I46</f>
        <v>3057.16</v>
      </c>
      <c r="G31" s="994">
        <f>Tab2b!J24+Tab2b!J37</f>
        <v>263.83999999999997</v>
      </c>
      <c r="H31" s="995">
        <f>Tab2b!K24+Tab2b!K37+Tab2b!K46</f>
        <v>554.27</v>
      </c>
      <c r="I31" s="337">
        <f t="shared" ref="I31:I36" si="0">SUM(F31:H31)</f>
        <v>3875.27</v>
      </c>
      <c r="L31" s="70"/>
      <c r="M31" s="70"/>
      <c r="N31" s="70"/>
    </row>
    <row r="32" spans="1:14">
      <c r="A32" s="97">
        <v>28</v>
      </c>
      <c r="B32" s="1381" t="s">
        <v>143</v>
      </c>
      <c r="C32" s="1359"/>
      <c r="D32" s="1359"/>
      <c r="E32" s="98" t="s">
        <v>63</v>
      </c>
      <c r="F32" s="335">
        <f>Tab2b!H22+Tab2b!I22+Tab2b!H30+Tab2b!I30+Tab2b!H36+Tab2b!I36+Tab2b!H45+Tab2b!I45</f>
        <v>9673.5499999999993</v>
      </c>
      <c r="G32" s="335">
        <f>Tab2b!J22+Tab2b!J30+Tab2b!J36</f>
        <v>698.16000000000008</v>
      </c>
      <c r="H32" s="336">
        <f>Tab2b!K22+Tab2b!K30+Tab2b!K36+Tab2b!K45</f>
        <v>1529.23</v>
      </c>
      <c r="I32" s="338">
        <f t="shared" si="0"/>
        <v>11900.939999999999</v>
      </c>
      <c r="L32" s="70"/>
      <c r="M32" s="70"/>
      <c r="N32" s="70"/>
    </row>
    <row r="33" spans="1:14" ht="30" customHeight="1">
      <c r="A33" s="97">
        <v>29</v>
      </c>
      <c r="B33" s="1381" t="s">
        <v>144</v>
      </c>
      <c r="C33" s="1359"/>
      <c r="D33" s="1359"/>
      <c r="E33" s="98" t="s">
        <v>94</v>
      </c>
      <c r="F33" s="335">
        <f>Tab2b!H19+Tab2b!I19+Tab2b!H28+Tab2b!I28+Tab2b!H35+Tab2b!I35+Tab2b!H44+Tab2b!I44</f>
        <v>29561.9</v>
      </c>
      <c r="G33" s="335">
        <f>Tab2b!J35+Tab2b!J28+Tab2b!J19</f>
        <v>3080.2</v>
      </c>
      <c r="H33" s="336">
        <f>Tab2b!K19+Tab2b!K28+Tab2b!K35+Tab2b!K44</f>
        <v>6602.1</v>
      </c>
      <c r="I33" s="338">
        <f t="shared" si="0"/>
        <v>39244.200000000004</v>
      </c>
      <c r="L33" s="70"/>
      <c r="M33" s="70"/>
      <c r="N33" s="70"/>
    </row>
    <row r="34" spans="1:14" ht="30" customHeight="1">
      <c r="A34" s="97">
        <v>30</v>
      </c>
      <c r="B34" s="1381" t="s">
        <v>145</v>
      </c>
      <c r="C34" s="1359"/>
      <c r="D34" s="1359"/>
      <c r="E34" s="98" t="s">
        <v>94</v>
      </c>
      <c r="F34" s="335">
        <f>Tab2b!H20+Tab2b!I20+Tab2b!H29+Tab2b!I29</f>
        <v>7096.9000000000005</v>
      </c>
      <c r="G34" s="99"/>
      <c r="H34" s="106"/>
      <c r="I34" s="338">
        <f t="shared" si="0"/>
        <v>7096.9000000000005</v>
      </c>
      <c r="L34" s="70"/>
    </row>
    <row r="35" spans="1:14" ht="30" customHeight="1">
      <c r="A35" s="97">
        <v>31</v>
      </c>
      <c r="B35" s="1381" t="s">
        <v>146</v>
      </c>
      <c r="C35" s="1359"/>
      <c r="D35" s="1359"/>
      <c r="E35" s="99" t="s">
        <v>24</v>
      </c>
      <c r="F35" s="99">
        <f>Tab2b!H40+Tab2b!I40</f>
        <v>4</v>
      </c>
      <c r="G35" s="99">
        <f>Tab2b!J40</f>
        <v>2</v>
      </c>
      <c r="H35" s="104">
        <f>Tab2b!K40</f>
        <v>2</v>
      </c>
      <c r="I35" s="105">
        <f t="shared" si="0"/>
        <v>8</v>
      </c>
    </row>
    <row r="36" spans="1:14" ht="30" customHeight="1">
      <c r="A36" s="97">
        <v>32</v>
      </c>
      <c r="B36" s="1381" t="s">
        <v>590</v>
      </c>
      <c r="C36" s="1359"/>
      <c r="D36" s="1359"/>
      <c r="E36" s="99" t="s">
        <v>24</v>
      </c>
      <c r="F36" s="99">
        <f>Tab2b!H41+Tab2b!I41</f>
        <v>2</v>
      </c>
      <c r="G36" s="99">
        <f>Tab2b!J41</f>
        <v>1</v>
      </c>
      <c r="H36" s="104">
        <f>Tab2b!K41</f>
        <v>1</v>
      </c>
      <c r="I36" s="105">
        <f t="shared" si="0"/>
        <v>4</v>
      </c>
    </row>
    <row r="37" spans="1:14" ht="30" customHeight="1">
      <c r="A37" s="97">
        <v>33</v>
      </c>
      <c r="B37" s="1381" t="s">
        <v>812</v>
      </c>
      <c r="C37" s="1359"/>
      <c r="D37" s="1359"/>
      <c r="E37" s="98" t="s">
        <v>63</v>
      </c>
      <c r="F37" s="335">
        <f>Tab2b!H27+Tab2b!I27+Tab2b!H34+Tab2b!I34+Tab2b!H43+Tab2b!I43</f>
        <v>1183</v>
      </c>
      <c r="G37" s="335">
        <f>Tab2b!J27+Tab2b!J34</f>
        <v>121</v>
      </c>
      <c r="H37" s="336">
        <f>Tab2b!K27+Tab2b!K34+Tab2b!K43</f>
        <v>350</v>
      </c>
      <c r="I37" s="338">
        <f>SUM(F37:H37)</f>
        <v>1654</v>
      </c>
    </row>
    <row r="38" spans="1:14" ht="15.75" thickBot="1">
      <c r="A38" s="97">
        <v>34</v>
      </c>
      <c r="B38" s="1382" t="s">
        <v>887</v>
      </c>
      <c r="C38" s="1376"/>
      <c r="D38" s="1376"/>
      <c r="E38" s="996" t="s">
        <v>63</v>
      </c>
      <c r="F38" s="991">
        <f>Tab2b!H17</f>
        <v>588</v>
      </c>
      <c r="G38" s="992"/>
      <c r="H38" s="993"/>
      <c r="I38" s="997">
        <f>SUM(F38:H38)</f>
        <v>588</v>
      </c>
    </row>
    <row r="39" spans="1:14">
      <c r="A39" s="52"/>
      <c r="B39" s="108"/>
      <c r="C39" s="108"/>
      <c r="D39" s="108"/>
      <c r="E39" s="108"/>
      <c r="F39" s="108"/>
      <c r="G39" s="108"/>
      <c r="H39" s="45"/>
      <c r="I39" s="45"/>
    </row>
    <row r="40" spans="1:14">
      <c r="A40" s="45"/>
      <c r="B40" s="1378"/>
      <c r="C40" s="1378"/>
      <c r="D40" s="1378"/>
      <c r="E40" s="1378"/>
      <c r="F40" s="1378"/>
      <c r="G40" s="1378"/>
      <c r="H40" s="1378"/>
      <c r="I40" s="1378"/>
    </row>
    <row r="41" spans="1:14">
      <c r="A41" s="108"/>
      <c r="B41" s="52"/>
      <c r="C41" s="52"/>
      <c r="D41" s="52"/>
      <c r="E41" s="52"/>
      <c r="F41" s="52"/>
      <c r="G41" s="52"/>
      <c r="H41" s="52"/>
      <c r="I41" s="52"/>
    </row>
    <row r="42" spans="1:14">
      <c r="A42" s="108"/>
      <c r="B42" s="52"/>
      <c r="C42" s="52"/>
      <c r="D42" s="52"/>
      <c r="E42" s="52"/>
      <c r="F42" s="52"/>
      <c r="G42" s="52"/>
      <c r="H42" s="52"/>
      <c r="I42" s="52"/>
    </row>
    <row r="43" spans="1:14">
      <c r="A43" s="45"/>
      <c r="B43" s="52"/>
      <c r="C43" s="52"/>
      <c r="D43" s="52"/>
      <c r="E43" s="52"/>
      <c r="F43" s="52"/>
      <c r="G43" s="52"/>
      <c r="H43" s="52"/>
      <c r="I43" s="52"/>
    </row>
  </sheetData>
  <mergeCells count="39">
    <mergeCell ref="B40:I40"/>
    <mergeCell ref="B31:D31"/>
    <mergeCell ref="B32:D32"/>
    <mergeCell ref="B33:D33"/>
    <mergeCell ref="B34:D34"/>
    <mergeCell ref="B38:D38"/>
    <mergeCell ref="B35:D35"/>
    <mergeCell ref="B37:D37"/>
    <mergeCell ref="B36:D36"/>
    <mergeCell ref="B23:G23"/>
    <mergeCell ref="B20:G20"/>
    <mergeCell ref="B30:D30"/>
    <mergeCell ref="B24:G24"/>
    <mergeCell ref="B21:G21"/>
    <mergeCell ref="B22:G22"/>
    <mergeCell ref="B25:G25"/>
    <mergeCell ref="B27:G27"/>
    <mergeCell ref="B26:G26"/>
    <mergeCell ref="B28:G28"/>
    <mergeCell ref="B29:I29"/>
    <mergeCell ref="B19:G19"/>
    <mergeCell ref="A3:A4"/>
    <mergeCell ref="B3:G4"/>
    <mergeCell ref="B7:G7"/>
    <mergeCell ref="B9:G9"/>
    <mergeCell ref="B11:G11"/>
    <mergeCell ref="B8:G8"/>
    <mergeCell ref="B17:G17"/>
    <mergeCell ref="B18:G18"/>
    <mergeCell ref="B16:G16"/>
    <mergeCell ref="H3:H4"/>
    <mergeCell ref="I3:I4"/>
    <mergeCell ref="B5:G5"/>
    <mergeCell ref="B14:G14"/>
    <mergeCell ref="B15:G15"/>
    <mergeCell ref="B6:G6"/>
    <mergeCell ref="B12:G12"/>
    <mergeCell ref="B13:G13"/>
    <mergeCell ref="B10:G10"/>
  </mergeCells>
  <phoneticPr fontId="5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N17" sqref="N17"/>
    </sheetView>
    <sheetView workbookViewId="1"/>
  </sheetViews>
  <sheetFormatPr defaultRowHeight="15"/>
  <cols>
    <col min="3" max="3" width="22" customWidth="1"/>
    <col min="6" max="6" width="28.28515625" customWidth="1"/>
  </cols>
  <sheetData>
    <row r="1" spans="1:11" ht="15.75">
      <c r="A1" s="1" t="s">
        <v>148</v>
      </c>
    </row>
    <row r="2" spans="1:11" ht="15.75" thickBot="1"/>
    <row r="3" spans="1:11" ht="15.75" thickBot="1">
      <c r="A3" s="1387" t="s">
        <v>149</v>
      </c>
      <c r="B3" s="1389" t="s">
        <v>150</v>
      </c>
      <c r="C3" s="1390"/>
      <c r="D3" s="1395" t="s">
        <v>151</v>
      </c>
      <c r="E3" s="1396"/>
      <c r="F3" s="1396"/>
      <c r="G3" s="1396"/>
      <c r="H3" s="1396"/>
      <c r="I3" s="1396"/>
      <c r="J3" s="1396"/>
      <c r="K3" s="1397"/>
    </row>
    <row r="4" spans="1:11">
      <c r="A4" s="1388"/>
      <c r="B4" s="1391"/>
      <c r="C4" s="1392"/>
      <c r="D4" s="1398" t="s">
        <v>152</v>
      </c>
      <c r="E4" s="1399" t="s">
        <v>153</v>
      </c>
      <c r="F4" s="1400"/>
      <c r="G4" s="1383" t="s">
        <v>154</v>
      </c>
      <c r="H4" s="1383" t="s">
        <v>155</v>
      </c>
      <c r="I4" s="1383" t="s">
        <v>156</v>
      </c>
      <c r="J4" s="1242" t="s">
        <v>157</v>
      </c>
      <c r="K4" s="1242" t="s">
        <v>158</v>
      </c>
    </row>
    <row r="5" spans="1:11" ht="30" customHeight="1" thickBot="1">
      <c r="A5" s="1384"/>
      <c r="B5" s="1393"/>
      <c r="C5" s="1394"/>
      <c r="D5" s="1267"/>
      <c r="E5" s="1401"/>
      <c r="F5" s="1402"/>
      <c r="G5" s="1384"/>
      <c r="H5" s="1384"/>
      <c r="I5" s="1384"/>
      <c r="J5" s="1244"/>
      <c r="K5" s="1244"/>
    </row>
    <row r="6" spans="1:11">
      <c r="A6" s="408" t="s">
        <v>159</v>
      </c>
      <c r="B6" s="1408">
        <v>6112740020050</v>
      </c>
      <c r="C6" s="1408"/>
      <c r="D6" s="787" t="s">
        <v>463</v>
      </c>
      <c r="E6" s="1409" t="s">
        <v>446</v>
      </c>
      <c r="F6" s="1409"/>
      <c r="G6" s="788">
        <f>'Tab1'!H10</f>
        <v>79.8</v>
      </c>
      <c r="H6" s="409"/>
      <c r="I6" s="410"/>
      <c r="J6" s="33"/>
      <c r="K6" s="37">
        <f>'Tab1'!H12</f>
        <v>0.75600000000000001</v>
      </c>
    </row>
    <row r="7" spans="1:11">
      <c r="A7" s="728" t="s">
        <v>799</v>
      </c>
      <c r="B7" s="1403">
        <v>6112740020050</v>
      </c>
      <c r="C7" s="1403"/>
      <c r="D7" s="789" t="s">
        <v>806</v>
      </c>
      <c r="E7" s="1410" t="s">
        <v>800</v>
      </c>
      <c r="F7" s="1410"/>
      <c r="G7" s="724">
        <v>0.2</v>
      </c>
      <c r="H7" s="729"/>
      <c r="I7" s="730"/>
      <c r="J7" s="148"/>
      <c r="K7" s="11">
        <f>'Tab8'!F36/1000</f>
        <v>0.44</v>
      </c>
    </row>
    <row r="8" spans="1:11">
      <c r="A8" s="411" t="s">
        <v>441</v>
      </c>
      <c r="B8" s="1405">
        <v>6112900030240</v>
      </c>
      <c r="C8" s="1405"/>
      <c r="D8" s="267" t="s">
        <v>464</v>
      </c>
      <c r="E8" s="1404" t="s">
        <v>447</v>
      </c>
      <c r="F8" s="1404"/>
      <c r="G8" s="1790">
        <f>'Tab1'!N10</f>
        <v>185.8</v>
      </c>
      <c r="H8" s="264"/>
      <c r="I8" s="208"/>
      <c r="J8" s="20"/>
      <c r="K8" s="16">
        <f>'Tab1'!N12</f>
        <v>0.61399999999999999</v>
      </c>
    </row>
    <row r="9" spans="1:11">
      <c r="A9" s="411" t="s">
        <v>444</v>
      </c>
      <c r="B9" s="1385">
        <v>6112900030240</v>
      </c>
      <c r="C9" s="1385"/>
      <c r="D9" s="263">
        <v>101</v>
      </c>
      <c r="E9" s="1411" t="s">
        <v>460</v>
      </c>
      <c r="F9" s="1411"/>
      <c r="G9" s="265"/>
      <c r="H9" s="503">
        <f>'Tab1'!Q22</f>
        <v>6.1079999999999997</v>
      </c>
      <c r="I9" s="115"/>
      <c r="J9" s="62"/>
      <c r="K9" s="16"/>
    </row>
    <row r="10" spans="1:11">
      <c r="A10" s="411" t="s">
        <v>448</v>
      </c>
      <c r="B10" s="1385">
        <v>6112900030240</v>
      </c>
      <c r="C10" s="1385"/>
      <c r="D10" s="263">
        <v>102</v>
      </c>
      <c r="E10" s="1411" t="s">
        <v>461</v>
      </c>
      <c r="F10" s="1411"/>
      <c r="G10" s="265"/>
      <c r="H10" s="503">
        <v>0.49</v>
      </c>
      <c r="I10" s="115"/>
      <c r="J10" s="62"/>
      <c r="K10" s="16"/>
    </row>
    <row r="11" spans="1:11">
      <c r="A11" s="411" t="s">
        <v>449</v>
      </c>
      <c r="B11" s="1385">
        <v>6112900030220</v>
      </c>
      <c r="C11" s="1385"/>
      <c r="D11" s="263">
        <v>101</v>
      </c>
      <c r="E11" s="1386" t="s">
        <v>462</v>
      </c>
      <c r="F11" s="1386"/>
      <c r="G11" s="266"/>
      <c r="H11" s="503">
        <v>0.98</v>
      </c>
      <c r="I11" s="115"/>
      <c r="J11" s="62"/>
      <c r="K11" s="16"/>
    </row>
    <row r="12" spans="1:11" ht="15.75" thickBot="1">
      <c r="A12" s="1406" t="s">
        <v>161</v>
      </c>
      <c r="B12" s="1407"/>
      <c r="C12" s="1407"/>
      <c r="D12" s="1407"/>
      <c r="E12" s="1407"/>
      <c r="F12" s="1407"/>
      <c r="G12" s="109">
        <f>SUM(G6:G11)</f>
        <v>265.8</v>
      </c>
      <c r="H12" s="110">
        <v>7.58</v>
      </c>
      <c r="I12" s="110"/>
      <c r="J12" s="109"/>
      <c r="K12" s="251">
        <f>SUM(K6:K8)</f>
        <v>1.81</v>
      </c>
    </row>
  </sheetData>
  <mergeCells count="23">
    <mergeCell ref="A12:F12"/>
    <mergeCell ref="B6:C6"/>
    <mergeCell ref="E6:F6"/>
    <mergeCell ref="B8:C8"/>
    <mergeCell ref="E7:F7"/>
    <mergeCell ref="E10:F10"/>
    <mergeCell ref="E9:F9"/>
    <mergeCell ref="B9:C9"/>
    <mergeCell ref="B10:C10"/>
    <mergeCell ref="H4:H5"/>
    <mergeCell ref="I4:I5"/>
    <mergeCell ref="B11:C11"/>
    <mergeCell ref="E11:F11"/>
    <mergeCell ref="A3:A5"/>
    <mergeCell ref="B3:C5"/>
    <mergeCell ref="D3:K3"/>
    <mergeCell ref="D4:D5"/>
    <mergeCell ref="E4:F5"/>
    <mergeCell ref="J4:J5"/>
    <mergeCell ref="K4:K5"/>
    <mergeCell ref="G4:G5"/>
    <mergeCell ref="B7:C7"/>
    <mergeCell ref="E8:F8"/>
  </mergeCells>
  <phoneticPr fontId="5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opLeftCell="A16" workbookViewId="0"/>
    <sheetView workbookViewId="1"/>
  </sheetViews>
  <sheetFormatPr defaultRowHeight="15"/>
  <cols>
    <col min="1" max="1" width="7.42578125" customWidth="1"/>
    <col min="2" max="2" width="39.7109375" customWidth="1"/>
    <col min="14" max="14" width="18.42578125" customWidth="1"/>
    <col min="15" max="15" width="27.7109375" customWidth="1"/>
  </cols>
  <sheetData>
    <row r="1" spans="1:15" ht="15.75">
      <c r="A1" s="1" t="s">
        <v>162</v>
      </c>
      <c r="B1" s="2"/>
      <c r="C1" s="2"/>
    </row>
    <row r="2" spans="1:15" ht="15.75" thickBot="1">
      <c r="A2" s="2"/>
      <c r="B2" s="2"/>
      <c r="C2" s="2"/>
    </row>
    <row r="3" spans="1:15" ht="15" customHeight="1" thickBot="1">
      <c r="A3" s="796"/>
      <c r="B3" s="1412" t="s">
        <v>163</v>
      </c>
      <c r="C3" s="1413"/>
      <c r="D3" s="1413"/>
      <c r="E3" s="1414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 ht="15" customHeight="1" thickBot="1">
      <c r="A4" s="797"/>
      <c r="B4" s="797" t="s">
        <v>153</v>
      </c>
      <c r="C4" s="797" t="s">
        <v>829</v>
      </c>
      <c r="D4" s="798" t="s">
        <v>830</v>
      </c>
      <c r="E4" s="799" t="s">
        <v>831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ht="15" customHeight="1" thickBot="1">
      <c r="A5" s="800"/>
      <c r="B5" s="801" t="s">
        <v>832</v>
      </c>
      <c r="C5" s="798"/>
      <c r="D5" s="798"/>
      <c r="E5" s="799"/>
      <c r="F5" s="189"/>
      <c r="G5" s="189"/>
      <c r="H5" s="189"/>
      <c r="I5" s="189"/>
      <c r="J5" s="189"/>
      <c r="K5" s="189"/>
      <c r="L5" s="189"/>
      <c r="M5" s="189"/>
      <c r="N5" s="189"/>
      <c r="O5" s="189"/>
    </row>
    <row r="6" spans="1:15" ht="31.5" customHeight="1">
      <c r="A6" s="1415">
        <v>1</v>
      </c>
      <c r="B6" s="802" t="s">
        <v>833</v>
      </c>
      <c r="C6" s="1418">
        <v>79.7</v>
      </c>
      <c r="D6" s="1421" t="s">
        <v>508</v>
      </c>
      <c r="E6" s="1424" t="s">
        <v>510</v>
      </c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5" ht="15.75">
      <c r="A7" s="1416"/>
      <c r="B7" s="803" t="s">
        <v>834</v>
      </c>
      <c r="C7" s="1419"/>
      <c r="D7" s="1422"/>
      <c r="E7" s="1425"/>
    </row>
    <row r="8" spans="1:15" ht="16.5" thickBot="1">
      <c r="A8" s="1417"/>
      <c r="B8" s="804" t="s">
        <v>835</v>
      </c>
      <c r="C8" s="1420"/>
      <c r="D8" s="1423"/>
      <c r="E8" s="1426"/>
    </row>
    <row r="9" spans="1:15" ht="63.75" thickBot="1">
      <c r="A9" s="797"/>
      <c r="B9" s="805" t="s">
        <v>836</v>
      </c>
      <c r="C9" s="798">
        <v>1.2</v>
      </c>
      <c r="D9" s="806" t="s">
        <v>508</v>
      </c>
      <c r="E9" s="807" t="s">
        <v>510</v>
      </c>
    </row>
    <row r="10" spans="1:15" ht="32.25" thickBot="1">
      <c r="A10" s="797"/>
      <c r="B10" s="808" t="s">
        <v>837</v>
      </c>
      <c r="C10" s="798"/>
      <c r="D10" s="798"/>
      <c r="E10" s="799"/>
    </row>
    <row r="11" spans="1:15" ht="31.5" customHeight="1">
      <c r="A11" s="1415">
        <v>1</v>
      </c>
      <c r="B11" s="802" t="s">
        <v>833</v>
      </c>
      <c r="C11" s="1415">
        <v>0.2</v>
      </c>
      <c r="D11" s="1424" t="s">
        <v>508</v>
      </c>
      <c r="E11" s="1424" t="s">
        <v>510</v>
      </c>
    </row>
    <row r="12" spans="1:15" ht="15.75">
      <c r="A12" s="1416"/>
      <c r="B12" s="802" t="s">
        <v>834</v>
      </c>
      <c r="C12" s="1416"/>
      <c r="D12" s="1425"/>
      <c r="E12" s="1425"/>
    </row>
    <row r="13" spans="1:15" ht="16.5" thickBot="1">
      <c r="A13" s="1417"/>
      <c r="B13" s="804" t="s">
        <v>835</v>
      </c>
      <c r="C13" s="1417"/>
      <c r="D13" s="1426"/>
      <c r="E13" s="1426"/>
    </row>
    <row r="14" spans="1:15" ht="63.75" thickBot="1">
      <c r="A14" s="797"/>
      <c r="B14" s="805" t="s">
        <v>838</v>
      </c>
      <c r="C14" s="797">
        <v>1.03</v>
      </c>
      <c r="D14" s="805" t="s">
        <v>508</v>
      </c>
      <c r="E14" s="807" t="s">
        <v>510</v>
      </c>
    </row>
    <row r="15" spans="1:15" ht="32.25" thickBot="1">
      <c r="A15" s="797"/>
      <c r="B15" s="808" t="s">
        <v>839</v>
      </c>
      <c r="C15" s="797"/>
      <c r="D15" s="797"/>
      <c r="E15" s="799"/>
    </row>
    <row r="16" spans="1:15" ht="31.5" customHeight="1">
      <c r="A16" s="1415">
        <v>1</v>
      </c>
      <c r="B16" s="802" t="s">
        <v>840</v>
      </c>
      <c r="C16" s="1415">
        <v>0.5</v>
      </c>
      <c r="D16" s="1424" t="s">
        <v>508</v>
      </c>
      <c r="E16" s="1424" t="s">
        <v>510</v>
      </c>
    </row>
    <row r="17" spans="1:5" ht="15.75">
      <c r="A17" s="1416"/>
      <c r="B17" s="802" t="s">
        <v>834</v>
      </c>
      <c r="C17" s="1416"/>
      <c r="D17" s="1425"/>
      <c r="E17" s="1425"/>
    </row>
    <row r="18" spans="1:5" ht="16.5" thickBot="1">
      <c r="A18" s="1417"/>
      <c r="B18" s="804" t="s">
        <v>835</v>
      </c>
      <c r="C18" s="1417"/>
      <c r="D18" s="1426"/>
      <c r="E18" s="1426"/>
    </row>
    <row r="19" spans="1:5" ht="32.25" thickBot="1">
      <c r="A19" s="797"/>
      <c r="B19" s="808" t="s">
        <v>841</v>
      </c>
      <c r="C19" s="797"/>
      <c r="D19" s="797"/>
      <c r="E19" s="809"/>
    </row>
    <row r="20" spans="1:5" ht="31.5" customHeight="1">
      <c r="A20" s="1415">
        <v>1</v>
      </c>
      <c r="B20" s="802" t="s">
        <v>840</v>
      </c>
      <c r="C20" s="1427">
        <v>258.39999999999998</v>
      </c>
      <c r="D20" s="1424" t="s">
        <v>508</v>
      </c>
      <c r="E20" s="1424" t="s">
        <v>510</v>
      </c>
    </row>
    <row r="21" spans="1:5" ht="15.75">
      <c r="A21" s="1416"/>
      <c r="B21" s="802" t="s">
        <v>834</v>
      </c>
      <c r="C21" s="1428"/>
      <c r="D21" s="1425"/>
      <c r="E21" s="1425"/>
    </row>
    <row r="22" spans="1:5" ht="16.5" thickBot="1">
      <c r="A22" s="1417"/>
      <c r="B22" s="804" t="s">
        <v>835</v>
      </c>
      <c r="C22" s="1429"/>
      <c r="D22" s="1426"/>
      <c r="E22" s="1426"/>
    </row>
    <row r="23" spans="1:5" ht="63.75" thickBot="1">
      <c r="A23" s="797"/>
      <c r="B23" s="810" t="s">
        <v>838</v>
      </c>
      <c r="C23" s="811">
        <v>3.39</v>
      </c>
      <c r="D23" s="797" t="s">
        <v>508</v>
      </c>
      <c r="E23" s="809" t="s">
        <v>510</v>
      </c>
    </row>
    <row r="24" spans="1:5" ht="32.25" thickBot="1">
      <c r="A24" s="797"/>
      <c r="B24" s="808" t="s">
        <v>842</v>
      </c>
      <c r="C24" s="797"/>
      <c r="D24" s="797"/>
      <c r="E24" s="809"/>
    </row>
    <row r="25" spans="1:5" ht="31.5" customHeight="1">
      <c r="A25" s="1415">
        <v>1</v>
      </c>
      <c r="B25" s="802" t="s">
        <v>840</v>
      </c>
      <c r="C25" s="1415">
        <v>2.6</v>
      </c>
      <c r="D25" s="1424" t="s">
        <v>508</v>
      </c>
      <c r="E25" s="1424" t="s">
        <v>510</v>
      </c>
    </row>
    <row r="26" spans="1:5" ht="15.75">
      <c r="A26" s="1416"/>
      <c r="B26" s="802" t="s">
        <v>834</v>
      </c>
      <c r="C26" s="1416"/>
      <c r="D26" s="1425"/>
      <c r="E26" s="1425"/>
    </row>
    <row r="27" spans="1:5" ht="16.5" thickBot="1">
      <c r="A27" s="1417"/>
      <c r="B27" s="804" t="s">
        <v>835</v>
      </c>
      <c r="C27" s="1417"/>
      <c r="D27" s="1426"/>
      <c r="E27" s="1426"/>
    </row>
    <row r="28" spans="1:5" ht="32.25" thickBot="1">
      <c r="A28" s="797"/>
      <c r="B28" s="808" t="s">
        <v>843</v>
      </c>
      <c r="C28" s="797"/>
      <c r="D28" s="797"/>
      <c r="E28" s="809"/>
    </row>
    <row r="29" spans="1:5" ht="31.5">
      <c r="A29" s="1415">
        <v>1</v>
      </c>
      <c r="B29" s="802" t="s">
        <v>833</v>
      </c>
      <c r="C29" s="1415">
        <v>312.8</v>
      </c>
      <c r="D29" s="1424" t="s">
        <v>508</v>
      </c>
      <c r="E29" s="1424" t="s">
        <v>510</v>
      </c>
    </row>
    <row r="30" spans="1:5" ht="15.75">
      <c r="A30" s="1416"/>
      <c r="B30" s="803" t="s">
        <v>834</v>
      </c>
      <c r="C30" s="1416"/>
      <c r="D30" s="1425"/>
      <c r="E30" s="1425"/>
    </row>
    <row r="31" spans="1:5" ht="16.5" thickBot="1">
      <c r="A31" s="1417"/>
      <c r="B31" s="804" t="s">
        <v>835</v>
      </c>
      <c r="C31" s="1417"/>
      <c r="D31" s="1426"/>
      <c r="E31" s="1426"/>
    </row>
    <row r="32" spans="1:5" ht="15.75">
      <c r="A32" s="1430">
        <v>2</v>
      </c>
      <c r="B32" s="1424" t="s">
        <v>836</v>
      </c>
      <c r="C32" s="812"/>
      <c r="D32" s="1424" t="s">
        <v>508</v>
      </c>
      <c r="E32" s="1424" t="s">
        <v>510</v>
      </c>
    </row>
    <row r="33" spans="1:5" ht="16.5" thickBot="1">
      <c r="A33" s="1431"/>
      <c r="B33" s="1426"/>
      <c r="C33" s="797">
        <v>2.2999999999999998</v>
      </c>
      <c r="D33" s="1426"/>
      <c r="E33" s="1426"/>
    </row>
    <row r="34" spans="1:5" ht="63.75" thickBot="1">
      <c r="A34" s="797">
        <v>4</v>
      </c>
      <c r="B34" s="813" t="s">
        <v>844</v>
      </c>
      <c r="C34" s="797">
        <v>3</v>
      </c>
      <c r="D34" s="805" t="s">
        <v>508</v>
      </c>
      <c r="E34" s="807" t="s">
        <v>510</v>
      </c>
    </row>
    <row r="35" spans="1:5" ht="32.25" thickBot="1">
      <c r="A35" s="797"/>
      <c r="B35" s="808" t="s">
        <v>845</v>
      </c>
      <c r="C35" s="797"/>
      <c r="D35" s="805"/>
      <c r="E35" s="807"/>
    </row>
    <row r="36" spans="1:5" ht="31.5">
      <c r="A36" s="1415"/>
      <c r="B36" s="802" t="s">
        <v>840</v>
      </c>
      <c r="C36" s="1415">
        <v>118.3</v>
      </c>
      <c r="D36" s="1424" t="s">
        <v>508</v>
      </c>
      <c r="E36" s="1424" t="s">
        <v>510</v>
      </c>
    </row>
    <row r="37" spans="1:5" ht="15.75">
      <c r="A37" s="1416"/>
      <c r="B37" s="802" t="s">
        <v>834</v>
      </c>
      <c r="C37" s="1416"/>
      <c r="D37" s="1425"/>
      <c r="E37" s="1425"/>
    </row>
    <row r="38" spans="1:5" ht="16.5" thickBot="1">
      <c r="A38" s="1417"/>
      <c r="B38" s="804" t="s">
        <v>835</v>
      </c>
      <c r="C38" s="1417"/>
      <c r="D38" s="1426"/>
      <c r="E38" s="1426"/>
    </row>
    <row r="39" spans="1:5" ht="63.75" thickBot="1">
      <c r="A39" s="797"/>
      <c r="B39" s="813" t="s">
        <v>844</v>
      </c>
      <c r="C39" s="797">
        <v>2</v>
      </c>
      <c r="D39" s="805" t="s">
        <v>508</v>
      </c>
      <c r="E39" s="807" t="s">
        <v>510</v>
      </c>
    </row>
    <row r="40" spans="1:5" ht="32.25" thickBot="1">
      <c r="A40" s="797"/>
      <c r="B40" s="808" t="s">
        <v>846</v>
      </c>
      <c r="C40" s="797"/>
      <c r="D40" s="805"/>
      <c r="E40" s="807"/>
    </row>
    <row r="41" spans="1:5" ht="31.5">
      <c r="A41" s="1415"/>
      <c r="B41" s="802" t="s">
        <v>840</v>
      </c>
      <c r="C41" s="1415">
        <v>10.199999999999999</v>
      </c>
      <c r="D41" s="1424" t="s">
        <v>508</v>
      </c>
      <c r="E41" s="1424" t="s">
        <v>510</v>
      </c>
    </row>
    <row r="42" spans="1:5" ht="15.75">
      <c r="A42" s="1416"/>
      <c r="B42" s="802" t="s">
        <v>834</v>
      </c>
      <c r="C42" s="1416"/>
      <c r="D42" s="1425"/>
      <c r="E42" s="1425"/>
    </row>
    <row r="43" spans="1:5" ht="16.5" thickBot="1">
      <c r="A43" s="1417"/>
      <c r="B43" s="804" t="s">
        <v>835</v>
      </c>
      <c r="C43" s="1417"/>
      <c r="D43" s="1426"/>
      <c r="E43" s="1426"/>
    </row>
    <row r="44" spans="1:5" ht="32.25" thickBot="1">
      <c r="A44" s="797"/>
      <c r="B44" s="808" t="s">
        <v>847</v>
      </c>
      <c r="C44" s="797"/>
      <c r="D44" s="805"/>
      <c r="E44" s="807"/>
    </row>
    <row r="45" spans="1:5" ht="31.5">
      <c r="A45" s="1415"/>
      <c r="B45" s="1424" t="s">
        <v>506</v>
      </c>
      <c r="C45" s="1415" t="s">
        <v>848</v>
      </c>
      <c r="D45" s="1424" t="s">
        <v>508</v>
      </c>
      <c r="E45" s="814" t="s">
        <v>849</v>
      </c>
    </row>
    <row r="46" spans="1:5" ht="32.25" thickBot="1">
      <c r="A46" s="1417"/>
      <c r="B46" s="1426"/>
      <c r="C46" s="1417"/>
      <c r="D46" s="1426"/>
      <c r="E46" s="807" t="s">
        <v>850</v>
      </c>
    </row>
    <row r="47" spans="1:5" ht="63.75" thickBot="1">
      <c r="A47" s="797"/>
      <c r="B47" s="813" t="s">
        <v>507</v>
      </c>
      <c r="C47" s="797" t="s">
        <v>848</v>
      </c>
      <c r="D47" s="805" t="s">
        <v>508</v>
      </c>
      <c r="E47" s="807" t="s">
        <v>509</v>
      </c>
    </row>
    <row r="48" spans="1:5" ht="45">
      <c r="A48" s="1415"/>
      <c r="B48" s="815" t="s">
        <v>851</v>
      </c>
      <c r="C48" s="1415" t="s">
        <v>848</v>
      </c>
      <c r="D48" s="1424" t="s">
        <v>508</v>
      </c>
      <c r="E48" s="814" t="s">
        <v>849</v>
      </c>
    </row>
    <row r="49" spans="1:5" ht="32.25" thickBot="1">
      <c r="A49" s="1417"/>
      <c r="B49" s="816" t="s">
        <v>852</v>
      </c>
      <c r="C49" s="1417"/>
      <c r="D49" s="1426"/>
      <c r="E49" s="807" t="s">
        <v>850</v>
      </c>
    </row>
    <row r="50" spans="1:5" ht="63.75" thickBot="1">
      <c r="A50" s="797"/>
      <c r="B50" s="813" t="s">
        <v>844</v>
      </c>
      <c r="C50" s="797">
        <v>7</v>
      </c>
      <c r="D50" s="805" t="s">
        <v>508</v>
      </c>
      <c r="E50" s="807" t="s">
        <v>510</v>
      </c>
    </row>
    <row r="51" spans="1:5" ht="32.25" thickBot="1">
      <c r="A51" s="797"/>
      <c r="B51" s="808" t="s">
        <v>853</v>
      </c>
      <c r="C51" s="797"/>
      <c r="D51" s="805"/>
      <c r="E51" s="807"/>
    </row>
    <row r="52" spans="1:5" ht="31.5">
      <c r="A52" s="1415"/>
      <c r="B52" s="1424" t="s">
        <v>506</v>
      </c>
      <c r="C52" s="1415" t="s">
        <v>854</v>
      </c>
      <c r="D52" s="1424" t="s">
        <v>508</v>
      </c>
      <c r="E52" s="814" t="s">
        <v>849</v>
      </c>
    </row>
    <row r="53" spans="1:5" ht="32.25" thickBot="1">
      <c r="A53" s="1417"/>
      <c r="B53" s="1426"/>
      <c r="C53" s="1417"/>
      <c r="D53" s="1426"/>
      <c r="E53" s="807" t="s">
        <v>850</v>
      </c>
    </row>
    <row r="54" spans="1:5" ht="63.75" thickBot="1">
      <c r="A54" s="797"/>
      <c r="B54" s="813" t="s">
        <v>507</v>
      </c>
      <c r="C54" s="797" t="s">
        <v>854</v>
      </c>
      <c r="D54" s="805" t="s">
        <v>508</v>
      </c>
      <c r="E54" s="807" t="s">
        <v>509</v>
      </c>
    </row>
    <row r="55" spans="1:5" ht="45">
      <c r="A55" s="1415"/>
      <c r="B55" s="815" t="s">
        <v>851</v>
      </c>
      <c r="C55" s="1415" t="s">
        <v>854</v>
      </c>
      <c r="D55" s="1424" t="s">
        <v>508</v>
      </c>
      <c r="E55" s="814" t="s">
        <v>849</v>
      </c>
    </row>
    <row r="56" spans="1:5" ht="32.25" thickBot="1">
      <c r="A56" s="1417"/>
      <c r="B56" s="816" t="s">
        <v>852</v>
      </c>
      <c r="C56" s="1417"/>
      <c r="D56" s="1426"/>
      <c r="E56" s="807" t="s">
        <v>850</v>
      </c>
    </row>
    <row r="57" spans="1:5" ht="63.75" thickBot="1">
      <c r="A57" s="797"/>
      <c r="B57" s="813" t="s">
        <v>844</v>
      </c>
      <c r="C57" s="797">
        <v>1</v>
      </c>
      <c r="D57" s="805" t="s">
        <v>508</v>
      </c>
      <c r="E57" s="807" t="s">
        <v>510</v>
      </c>
    </row>
    <row r="58" spans="1:5" ht="32.25" thickBot="1">
      <c r="A58" s="797"/>
      <c r="B58" s="808" t="s">
        <v>855</v>
      </c>
      <c r="C58" s="797"/>
      <c r="D58" s="805"/>
      <c r="E58" s="807"/>
    </row>
    <row r="59" spans="1:5" ht="31.5">
      <c r="A59" s="1415"/>
      <c r="B59" s="1424" t="s">
        <v>506</v>
      </c>
      <c r="C59" s="1415" t="s">
        <v>856</v>
      </c>
      <c r="D59" s="1424" t="s">
        <v>508</v>
      </c>
      <c r="E59" s="814" t="s">
        <v>849</v>
      </c>
    </row>
    <row r="60" spans="1:5" ht="32.25" thickBot="1">
      <c r="A60" s="1417"/>
      <c r="B60" s="1426"/>
      <c r="C60" s="1417"/>
      <c r="D60" s="1426"/>
      <c r="E60" s="807" t="s">
        <v>850</v>
      </c>
    </row>
    <row r="61" spans="1:5" ht="63.75" thickBot="1">
      <c r="A61" s="797"/>
      <c r="B61" s="813" t="s">
        <v>507</v>
      </c>
      <c r="C61" s="797" t="s">
        <v>856</v>
      </c>
      <c r="D61" s="805" t="s">
        <v>508</v>
      </c>
      <c r="E61" s="807" t="s">
        <v>509</v>
      </c>
    </row>
    <row r="62" spans="1:5" ht="45">
      <c r="A62" s="1415"/>
      <c r="B62" s="815" t="s">
        <v>851</v>
      </c>
      <c r="C62" s="1415" t="s">
        <v>856</v>
      </c>
      <c r="D62" s="1424" t="s">
        <v>508</v>
      </c>
      <c r="E62" s="814" t="s">
        <v>849</v>
      </c>
    </row>
    <row r="63" spans="1:5" ht="32.25" thickBot="1">
      <c r="A63" s="1417"/>
      <c r="B63" s="816" t="s">
        <v>852</v>
      </c>
      <c r="C63" s="1417"/>
      <c r="D63" s="1426"/>
      <c r="E63" s="807" t="s">
        <v>850</v>
      </c>
    </row>
    <row r="64" spans="1:5" ht="63.75" thickBot="1">
      <c r="A64" s="797"/>
      <c r="B64" s="813" t="s">
        <v>844</v>
      </c>
      <c r="C64" s="797">
        <v>1</v>
      </c>
      <c r="D64" s="805" t="s">
        <v>508</v>
      </c>
      <c r="E64" s="807" t="s">
        <v>510</v>
      </c>
    </row>
  </sheetData>
  <mergeCells count="58">
    <mergeCell ref="A52:A53"/>
    <mergeCell ref="B52:B53"/>
    <mergeCell ref="C52:C53"/>
    <mergeCell ref="D52:D53"/>
    <mergeCell ref="A62:A63"/>
    <mergeCell ref="C62:C63"/>
    <mergeCell ref="D62:D63"/>
    <mergeCell ref="A55:A56"/>
    <mergeCell ref="C55:C56"/>
    <mergeCell ref="D55:D56"/>
    <mergeCell ref="A59:A60"/>
    <mergeCell ref="B59:B60"/>
    <mergeCell ref="C59:C60"/>
    <mergeCell ref="D59:D60"/>
    <mergeCell ref="A45:A46"/>
    <mergeCell ref="B45:B46"/>
    <mergeCell ref="C45:C46"/>
    <mergeCell ref="D45:D46"/>
    <mergeCell ref="A48:A49"/>
    <mergeCell ref="C48:C49"/>
    <mergeCell ref="D48:D49"/>
    <mergeCell ref="A36:A38"/>
    <mergeCell ref="C36:C38"/>
    <mergeCell ref="D36:D38"/>
    <mergeCell ref="E36:E38"/>
    <mergeCell ref="A41:A43"/>
    <mergeCell ref="C41:C43"/>
    <mergeCell ref="D41:D43"/>
    <mergeCell ref="E41:E43"/>
    <mergeCell ref="A29:A31"/>
    <mergeCell ref="C29:C31"/>
    <mergeCell ref="D29:D31"/>
    <mergeCell ref="E29:E31"/>
    <mergeCell ref="A32:A33"/>
    <mergeCell ref="B32:B33"/>
    <mergeCell ref="D32:D33"/>
    <mergeCell ref="E32:E33"/>
    <mergeCell ref="A20:A22"/>
    <mergeCell ref="C20:C22"/>
    <mergeCell ref="D20:D22"/>
    <mergeCell ref="E20:E22"/>
    <mergeCell ref="A25:A27"/>
    <mergeCell ref="C25:C27"/>
    <mergeCell ref="D25:D27"/>
    <mergeCell ref="E25:E27"/>
    <mergeCell ref="A11:A13"/>
    <mergeCell ref="C11:C13"/>
    <mergeCell ref="D11:D13"/>
    <mergeCell ref="E11:E13"/>
    <mergeCell ref="A16:A18"/>
    <mergeCell ref="C16:C18"/>
    <mergeCell ref="D16:D18"/>
    <mergeCell ref="E16:E18"/>
    <mergeCell ref="B3:E3"/>
    <mergeCell ref="A6:A8"/>
    <mergeCell ref="C6:C8"/>
    <mergeCell ref="D6:D8"/>
    <mergeCell ref="E6:E8"/>
  </mergeCells>
  <phoneticPr fontId="5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23" sqref="E23"/>
    </sheetView>
    <sheetView workbookViewId="1"/>
  </sheetViews>
  <sheetFormatPr defaultRowHeight="15"/>
  <cols>
    <col min="5" max="5" width="42.5703125" customWidth="1"/>
    <col min="6" max="6" width="15.42578125" customWidth="1"/>
    <col min="7" max="7" width="17" customWidth="1"/>
    <col min="8" max="8" width="17.7109375" customWidth="1"/>
  </cols>
  <sheetData>
    <row r="1" spans="1:8" ht="15.75">
      <c r="A1" s="1" t="s">
        <v>165</v>
      </c>
    </row>
    <row r="2" spans="1:8" ht="15.75" thickBot="1"/>
    <row r="3" spans="1:8" ht="15.75" thickBot="1">
      <c r="A3" s="1242" t="s">
        <v>41</v>
      </c>
      <c r="B3" s="1432" t="s">
        <v>166</v>
      </c>
      <c r="C3" s="1433"/>
      <c r="D3" s="1433"/>
      <c r="E3" s="1433"/>
      <c r="F3" s="1433"/>
      <c r="G3" s="1433"/>
      <c r="H3" s="1434"/>
    </row>
    <row r="4" spans="1:8" ht="15.75" thickBot="1">
      <c r="A4" s="1243"/>
      <c r="B4" s="1250" t="s">
        <v>167</v>
      </c>
      <c r="C4" s="1435" t="s">
        <v>168</v>
      </c>
      <c r="D4" s="1265" t="s">
        <v>169</v>
      </c>
      <c r="E4" s="1438" t="s">
        <v>170</v>
      </c>
      <c r="F4" s="1439"/>
      <c r="G4" s="1440"/>
      <c r="H4" s="1435" t="s">
        <v>171</v>
      </c>
    </row>
    <row r="5" spans="1:8" ht="15.75" thickBot="1">
      <c r="A5" s="1243"/>
      <c r="B5" s="1251"/>
      <c r="C5" s="1436"/>
      <c r="D5" s="1266"/>
      <c r="E5" s="1250" t="s">
        <v>169</v>
      </c>
      <c r="F5" s="1432" t="s">
        <v>172</v>
      </c>
      <c r="G5" s="1434"/>
      <c r="H5" s="1436"/>
    </row>
    <row r="6" spans="1:8" ht="15.75" thickBot="1">
      <c r="A6" s="1244"/>
      <c r="B6" s="1252"/>
      <c r="C6" s="1437"/>
      <c r="D6" s="1267"/>
      <c r="E6" s="1312"/>
      <c r="F6" s="399" t="s">
        <v>173</v>
      </c>
      <c r="G6" s="395" t="s">
        <v>174</v>
      </c>
      <c r="H6" s="1437"/>
    </row>
    <row r="7" spans="1:8">
      <c r="A7" s="405">
        <v>1</v>
      </c>
      <c r="B7" s="406">
        <v>1</v>
      </c>
      <c r="C7" s="147" t="s">
        <v>175</v>
      </c>
      <c r="D7" s="164" t="s">
        <v>176</v>
      </c>
      <c r="E7" s="724" t="s">
        <v>781</v>
      </c>
      <c r="F7" s="407" t="s">
        <v>465</v>
      </c>
      <c r="G7" s="407" t="s">
        <v>479</v>
      </c>
      <c r="H7" s="406" t="s">
        <v>493</v>
      </c>
    </row>
    <row r="8" spans="1:8">
      <c r="A8" s="401">
        <v>2</v>
      </c>
      <c r="B8" s="350">
        <v>2</v>
      </c>
      <c r="C8" s="62" t="s">
        <v>175</v>
      </c>
      <c r="D8" s="115" t="s">
        <v>176</v>
      </c>
      <c r="E8" s="723" t="s">
        <v>782</v>
      </c>
      <c r="F8" s="404" t="s">
        <v>466</v>
      </c>
      <c r="G8" s="404" t="s">
        <v>480</v>
      </c>
      <c r="H8" s="350">
        <v>77.239999999999995</v>
      </c>
    </row>
    <row r="9" spans="1:8">
      <c r="A9" s="402">
        <v>3</v>
      </c>
      <c r="B9" s="404">
        <v>3</v>
      </c>
      <c r="C9" s="62" t="s">
        <v>175</v>
      </c>
      <c r="D9" s="115" t="s">
        <v>176</v>
      </c>
      <c r="E9" s="722" t="s">
        <v>783</v>
      </c>
      <c r="F9" s="404" t="s">
        <v>467</v>
      </c>
      <c r="G9" s="404" t="s">
        <v>481</v>
      </c>
      <c r="H9" s="404" t="s">
        <v>494</v>
      </c>
    </row>
    <row r="10" spans="1:8" ht="30" customHeight="1">
      <c r="A10" s="402">
        <v>4</v>
      </c>
      <c r="B10" s="404">
        <v>4</v>
      </c>
      <c r="C10" s="62" t="s">
        <v>175</v>
      </c>
      <c r="D10" s="115" t="s">
        <v>176</v>
      </c>
      <c r="E10" s="720" t="s">
        <v>784</v>
      </c>
      <c r="F10" s="404" t="s">
        <v>468</v>
      </c>
      <c r="G10" s="404" t="s">
        <v>482</v>
      </c>
      <c r="H10" s="404" t="s">
        <v>495</v>
      </c>
    </row>
    <row r="11" spans="1:8">
      <c r="A11" s="402">
        <v>5</v>
      </c>
      <c r="B11" s="404">
        <v>5</v>
      </c>
      <c r="C11" s="62" t="s">
        <v>175</v>
      </c>
      <c r="D11" s="115" t="s">
        <v>176</v>
      </c>
      <c r="E11" s="722" t="s">
        <v>785</v>
      </c>
      <c r="F11" s="404" t="s">
        <v>469</v>
      </c>
      <c r="G11" s="404" t="s">
        <v>483</v>
      </c>
      <c r="H11" s="404" t="s">
        <v>496</v>
      </c>
    </row>
    <row r="12" spans="1:8" ht="30" customHeight="1">
      <c r="A12" s="402">
        <v>6</v>
      </c>
      <c r="B12" s="404">
        <v>6</v>
      </c>
      <c r="C12" s="62" t="s">
        <v>175</v>
      </c>
      <c r="D12" s="115" t="s">
        <v>176</v>
      </c>
      <c r="E12" s="720" t="s">
        <v>786</v>
      </c>
      <c r="F12" s="404" t="s">
        <v>470</v>
      </c>
      <c r="G12" s="404" t="s">
        <v>484</v>
      </c>
      <c r="H12" s="404" t="s">
        <v>497</v>
      </c>
    </row>
    <row r="13" spans="1:8">
      <c r="A13" s="402">
        <v>7</v>
      </c>
      <c r="B13" s="404">
        <v>7</v>
      </c>
      <c r="C13" s="62" t="s">
        <v>175</v>
      </c>
      <c r="D13" s="115" t="s">
        <v>176</v>
      </c>
      <c r="E13" s="722" t="s">
        <v>787</v>
      </c>
      <c r="F13" s="404" t="s">
        <v>471</v>
      </c>
      <c r="G13" s="404" t="s">
        <v>485</v>
      </c>
      <c r="H13" s="404" t="s">
        <v>498</v>
      </c>
    </row>
    <row r="14" spans="1:8">
      <c r="A14" s="402">
        <v>8</v>
      </c>
      <c r="B14" s="404">
        <v>8</v>
      </c>
      <c r="C14" s="62" t="s">
        <v>175</v>
      </c>
      <c r="D14" s="115" t="s">
        <v>176</v>
      </c>
      <c r="E14" s="722" t="s">
        <v>788</v>
      </c>
      <c r="F14" s="404" t="s">
        <v>472</v>
      </c>
      <c r="G14" s="404" t="s">
        <v>486</v>
      </c>
      <c r="H14" s="404" t="s">
        <v>499</v>
      </c>
    </row>
    <row r="15" spans="1:8">
      <c r="A15" s="402">
        <v>9</v>
      </c>
      <c r="B15" s="404">
        <v>9</v>
      </c>
      <c r="C15" s="62" t="s">
        <v>175</v>
      </c>
      <c r="D15" s="115" t="s">
        <v>176</v>
      </c>
      <c r="E15" s="722" t="s">
        <v>794</v>
      </c>
      <c r="F15" s="404" t="s">
        <v>473</v>
      </c>
      <c r="G15" s="404" t="s">
        <v>487</v>
      </c>
      <c r="H15" s="404" t="s">
        <v>500</v>
      </c>
    </row>
    <row r="16" spans="1:8" ht="30" customHeight="1">
      <c r="A16" s="402">
        <v>10</v>
      </c>
      <c r="B16" s="404">
        <v>10</v>
      </c>
      <c r="C16" s="62" t="s">
        <v>175</v>
      </c>
      <c r="D16" s="115" t="s">
        <v>176</v>
      </c>
      <c r="E16" s="720" t="s">
        <v>789</v>
      </c>
      <c r="F16" s="404" t="s">
        <v>474</v>
      </c>
      <c r="G16" s="404" t="s">
        <v>488</v>
      </c>
      <c r="H16" s="404" t="s">
        <v>501</v>
      </c>
    </row>
    <row r="17" spans="1:8" ht="30" customHeight="1">
      <c r="A17" s="402">
        <v>11</v>
      </c>
      <c r="B17" s="404">
        <v>11</v>
      </c>
      <c r="C17" s="62" t="s">
        <v>175</v>
      </c>
      <c r="D17" s="115" t="s">
        <v>176</v>
      </c>
      <c r="E17" s="720" t="s">
        <v>790</v>
      </c>
      <c r="F17" s="404" t="s">
        <v>475</v>
      </c>
      <c r="G17" s="404" t="s">
        <v>489</v>
      </c>
      <c r="H17" s="404" t="s">
        <v>502</v>
      </c>
    </row>
    <row r="18" spans="1:8" ht="25.5">
      <c r="A18" s="402">
        <v>12</v>
      </c>
      <c r="B18" s="404">
        <v>12</v>
      </c>
      <c r="C18" s="62" t="s">
        <v>175</v>
      </c>
      <c r="D18" s="115" t="s">
        <v>176</v>
      </c>
      <c r="E18" s="721" t="s">
        <v>791</v>
      </c>
      <c r="F18" s="404" t="s">
        <v>476</v>
      </c>
      <c r="G18" s="404" t="s">
        <v>490</v>
      </c>
      <c r="H18" s="404" t="s">
        <v>503</v>
      </c>
    </row>
    <row r="19" spans="1:8" ht="30" customHeight="1">
      <c r="A19" s="402">
        <v>13</v>
      </c>
      <c r="B19" s="404">
        <v>13</v>
      </c>
      <c r="C19" s="62" t="s">
        <v>175</v>
      </c>
      <c r="D19" s="115" t="s">
        <v>176</v>
      </c>
      <c r="E19" s="720" t="s">
        <v>792</v>
      </c>
      <c r="F19" s="404" t="s">
        <v>477</v>
      </c>
      <c r="G19" s="404" t="s">
        <v>491</v>
      </c>
      <c r="H19" s="404" t="s">
        <v>504</v>
      </c>
    </row>
    <row r="20" spans="1:8" ht="15" customHeight="1" thickBot="1">
      <c r="A20" s="403">
        <v>14</v>
      </c>
      <c r="B20" s="404">
        <v>14</v>
      </c>
      <c r="C20" s="62" t="s">
        <v>175</v>
      </c>
      <c r="D20" s="115" t="s">
        <v>176</v>
      </c>
      <c r="E20" s="720" t="s">
        <v>793</v>
      </c>
      <c r="F20" s="404" t="s">
        <v>478</v>
      </c>
      <c r="G20" s="404" t="s">
        <v>492</v>
      </c>
      <c r="H20" s="404" t="s">
        <v>505</v>
      </c>
    </row>
  </sheetData>
  <mergeCells count="9">
    <mergeCell ref="A3:A6"/>
    <mergeCell ref="B3:H3"/>
    <mergeCell ref="B4:B6"/>
    <mergeCell ref="C4:C6"/>
    <mergeCell ref="D4:D6"/>
    <mergeCell ref="E4:G4"/>
    <mergeCell ref="H4:H6"/>
    <mergeCell ref="E5:E6"/>
    <mergeCell ref="F5:G5"/>
  </mergeCells>
  <phoneticPr fontId="59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/>
    <sheetView workbookViewId="1"/>
  </sheetViews>
  <sheetFormatPr defaultRowHeight="15"/>
  <cols>
    <col min="2" max="2" width="37.140625" customWidth="1"/>
    <col min="3" max="6" width="9.7109375" customWidth="1"/>
  </cols>
  <sheetData>
    <row r="1" spans="1:15" ht="15.75">
      <c r="A1" s="117" t="s">
        <v>177</v>
      </c>
      <c r="B1" s="117"/>
    </row>
    <row r="2" spans="1:15" ht="16.5" thickBot="1">
      <c r="B2" s="118"/>
      <c r="L2" s="119"/>
      <c r="M2" s="119"/>
      <c r="N2" s="119"/>
      <c r="O2" s="120"/>
    </row>
    <row r="3" spans="1:15" ht="41.25" customHeight="1" thickBot="1">
      <c r="A3" s="1242" t="s">
        <v>41</v>
      </c>
      <c r="B3" s="1441" t="s">
        <v>178</v>
      </c>
      <c r="C3" s="395" t="s">
        <v>648</v>
      </c>
      <c r="D3" s="395" t="s">
        <v>672</v>
      </c>
      <c r="E3" s="395" t="s">
        <v>649</v>
      </c>
      <c r="F3" s="395" t="s">
        <v>673</v>
      </c>
      <c r="G3" s="1443" t="s">
        <v>2</v>
      </c>
      <c r="H3" s="121"/>
      <c r="I3" s="121"/>
      <c r="J3" s="121"/>
      <c r="K3" s="121"/>
      <c r="L3" s="121"/>
      <c r="M3" s="121"/>
    </row>
    <row r="4" spans="1:15" ht="15.75" thickBot="1">
      <c r="A4" s="1244"/>
      <c r="B4" s="1442"/>
      <c r="C4" s="395" t="s">
        <v>444</v>
      </c>
      <c r="D4" s="395" t="s">
        <v>444</v>
      </c>
      <c r="E4" s="395" t="s">
        <v>448</v>
      </c>
      <c r="F4" s="395" t="s">
        <v>449</v>
      </c>
      <c r="G4" s="1444"/>
      <c r="H4" s="122"/>
      <c r="I4" s="121"/>
      <c r="J4" s="121"/>
      <c r="K4" s="121"/>
      <c r="L4" s="121"/>
      <c r="M4" s="121"/>
    </row>
    <row r="5" spans="1:15" ht="15.75" thickBot="1">
      <c r="A5" s="123" t="s">
        <v>45</v>
      </c>
      <c r="B5" s="124" t="s">
        <v>46</v>
      </c>
      <c r="C5" s="125" t="s">
        <v>47</v>
      </c>
      <c r="D5" s="125" t="s">
        <v>48</v>
      </c>
      <c r="E5" s="396" t="s">
        <v>693</v>
      </c>
      <c r="F5" s="396" t="s">
        <v>50</v>
      </c>
      <c r="G5" s="126" t="s">
        <v>51</v>
      </c>
      <c r="H5" s="121"/>
      <c r="I5" s="121"/>
      <c r="J5" s="121"/>
      <c r="K5" s="121"/>
      <c r="L5" s="121"/>
      <c r="M5" s="121"/>
    </row>
    <row r="6" spans="1:15">
      <c r="A6" s="127">
        <v>1</v>
      </c>
      <c r="B6" s="128" t="s">
        <v>179</v>
      </c>
      <c r="C6" s="129"/>
      <c r="D6" s="130"/>
      <c r="E6" s="129"/>
      <c r="F6" s="397"/>
      <c r="G6" s="103"/>
      <c r="H6" s="121"/>
      <c r="I6" s="121"/>
      <c r="J6" s="121"/>
      <c r="K6" s="121"/>
      <c r="L6" s="121"/>
      <c r="M6" s="121"/>
    </row>
    <row r="7" spans="1:15">
      <c r="A7" s="131">
        <v>2</v>
      </c>
      <c r="B7" s="132" t="s">
        <v>180</v>
      </c>
      <c r="C7" s="99"/>
      <c r="D7" s="99"/>
      <c r="E7" s="99"/>
      <c r="F7" s="349"/>
      <c r="G7" s="105"/>
      <c r="H7" s="121"/>
      <c r="I7" s="121"/>
      <c r="J7" s="121"/>
      <c r="K7" s="121"/>
      <c r="L7" s="121"/>
      <c r="M7" s="121"/>
    </row>
    <row r="8" spans="1:15">
      <c r="A8" s="131">
        <v>3</v>
      </c>
      <c r="B8" s="132" t="s">
        <v>181</v>
      </c>
      <c r="C8" s="99">
        <f>Tab2b!H26</f>
        <v>20</v>
      </c>
      <c r="D8" s="99">
        <f>Tab2b!I26</f>
        <v>11</v>
      </c>
      <c r="E8" s="99">
        <f>Tab2b!J26</f>
        <v>2</v>
      </c>
      <c r="F8" s="99">
        <f>Tab2b!K26</f>
        <v>5</v>
      </c>
      <c r="G8" s="105">
        <f>SUM(C8:F8)</f>
        <v>38</v>
      </c>
      <c r="H8" s="121"/>
      <c r="I8" s="121"/>
      <c r="J8" s="121"/>
      <c r="K8" s="121"/>
      <c r="L8" s="121"/>
      <c r="M8" s="121"/>
    </row>
    <row r="9" spans="1:15">
      <c r="A9" s="131">
        <v>4</v>
      </c>
      <c r="B9" s="132" t="s">
        <v>182</v>
      </c>
      <c r="C9" s="99"/>
      <c r="D9" s="99"/>
      <c r="E9" s="99"/>
      <c r="F9" s="349"/>
      <c r="G9" s="105"/>
      <c r="H9" s="121"/>
      <c r="I9" s="121"/>
      <c r="J9" s="121"/>
      <c r="K9" s="121"/>
      <c r="L9" s="121"/>
      <c r="M9" s="121"/>
    </row>
    <row r="10" spans="1:15">
      <c r="A10" s="131">
        <v>5</v>
      </c>
      <c r="B10" s="132" t="s">
        <v>183</v>
      </c>
      <c r="C10" s="99"/>
      <c r="D10" s="99"/>
      <c r="E10" s="99"/>
      <c r="F10" s="349"/>
      <c r="G10" s="105"/>
      <c r="H10" s="121"/>
      <c r="I10" s="121"/>
      <c r="J10" s="121"/>
      <c r="K10" s="121"/>
      <c r="L10" s="121"/>
      <c r="M10" s="121"/>
    </row>
    <row r="11" spans="1:15">
      <c r="A11" s="131">
        <v>6</v>
      </c>
      <c r="B11" s="132" t="s">
        <v>184</v>
      </c>
      <c r="C11" s="99"/>
      <c r="D11" s="99"/>
      <c r="E11" s="99"/>
      <c r="F11" s="349"/>
      <c r="G11" s="105"/>
      <c r="H11" s="121"/>
      <c r="I11" s="121"/>
      <c r="J11" s="121"/>
      <c r="K11" s="121"/>
      <c r="L11" s="121"/>
      <c r="M11" s="121"/>
    </row>
    <row r="12" spans="1:15">
      <c r="A12" s="131">
        <v>7</v>
      </c>
      <c r="B12" s="132" t="s">
        <v>185</v>
      </c>
      <c r="C12" s="335">
        <f>Tab2b!H33</f>
        <v>1</v>
      </c>
      <c r="D12" s="335">
        <f>Tab2b!I33</f>
        <v>1</v>
      </c>
      <c r="E12" s="99">
        <f>Tab2b!J33</f>
        <v>1</v>
      </c>
      <c r="F12" s="349">
        <f>Tab2b!K33</f>
        <v>1</v>
      </c>
      <c r="G12" s="105">
        <f>SUM(C12:F12)</f>
        <v>4</v>
      </c>
      <c r="H12" s="121"/>
      <c r="I12" s="121"/>
      <c r="J12" s="121"/>
      <c r="K12" s="121"/>
      <c r="L12" s="121"/>
      <c r="M12" s="121"/>
    </row>
    <row r="13" spans="1:15">
      <c r="A13" s="131">
        <v>8</v>
      </c>
      <c r="B13" s="132" t="s">
        <v>186</v>
      </c>
      <c r="C13" s="99"/>
      <c r="D13" s="99"/>
      <c r="E13" s="99"/>
      <c r="F13" s="349"/>
      <c r="G13" s="105"/>
      <c r="H13" s="121"/>
      <c r="I13" s="121"/>
      <c r="J13" s="121"/>
      <c r="K13" s="121"/>
      <c r="L13" s="121"/>
      <c r="M13" s="121"/>
    </row>
    <row r="14" spans="1:15">
      <c r="A14" s="131">
        <v>9</v>
      </c>
      <c r="B14" s="132" t="s">
        <v>187</v>
      </c>
      <c r="C14" s="99">
        <f>Tab2b!H42</f>
        <v>1</v>
      </c>
      <c r="D14" s="99">
        <f>Tab2b!I42</f>
        <v>1</v>
      </c>
      <c r="E14" s="99"/>
      <c r="F14" s="349">
        <f>Tab2b!K42</f>
        <v>1</v>
      </c>
      <c r="G14" s="105">
        <f>SUM(C14:F14)</f>
        <v>3</v>
      </c>
      <c r="H14" s="121"/>
      <c r="I14" s="121"/>
      <c r="J14" s="121"/>
      <c r="K14" s="121"/>
      <c r="L14" s="121"/>
      <c r="M14" s="121"/>
    </row>
    <row r="15" spans="1:15">
      <c r="A15" s="131">
        <v>10</v>
      </c>
      <c r="B15" s="132" t="s">
        <v>188</v>
      </c>
      <c r="C15" s="99"/>
      <c r="D15" s="99"/>
      <c r="E15" s="99"/>
      <c r="F15" s="349"/>
      <c r="G15" s="105"/>
      <c r="H15" s="121"/>
      <c r="I15" s="121"/>
      <c r="J15" s="121"/>
      <c r="K15" s="121"/>
      <c r="L15" s="121"/>
      <c r="M15" s="121"/>
    </row>
    <row r="16" spans="1:15" ht="25.5">
      <c r="A16" s="131">
        <v>11</v>
      </c>
      <c r="B16" s="132" t="s">
        <v>189</v>
      </c>
      <c r="C16" s="99"/>
      <c r="D16" s="99"/>
      <c r="E16" s="99"/>
      <c r="F16" s="349"/>
      <c r="G16" s="105"/>
      <c r="H16" s="121"/>
      <c r="I16" s="121"/>
      <c r="J16" s="121"/>
      <c r="K16" s="121"/>
      <c r="L16" s="121"/>
      <c r="M16" s="121"/>
    </row>
    <row r="17" spans="1:18" ht="15.75" thickBot="1">
      <c r="A17" s="133">
        <v>12</v>
      </c>
      <c r="B17" s="134" t="s">
        <v>137</v>
      </c>
      <c r="C17" s="107"/>
      <c r="D17" s="135"/>
      <c r="E17" s="398"/>
      <c r="F17" s="398"/>
      <c r="G17" s="136"/>
      <c r="H17" s="121"/>
      <c r="I17" s="121"/>
      <c r="J17" s="121"/>
      <c r="K17" s="121"/>
      <c r="L17" s="121"/>
      <c r="M17" s="121"/>
    </row>
    <row r="18" spans="1:18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121"/>
      <c r="Q18" s="121"/>
      <c r="R18" s="121"/>
    </row>
    <row r="19" spans="1:18">
      <c r="A19" s="45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121"/>
      <c r="Q19" s="121"/>
      <c r="R19" s="121"/>
    </row>
    <row r="20" spans="1:18">
      <c r="A20" s="45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121"/>
      <c r="Q20" s="121"/>
      <c r="R20" s="121"/>
    </row>
    <row r="21" spans="1:18">
      <c r="A21" s="5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121"/>
      <c r="Q21" s="121"/>
      <c r="R21" s="121"/>
    </row>
  </sheetData>
  <mergeCells count="3">
    <mergeCell ref="A3:A4"/>
    <mergeCell ref="B3:B4"/>
    <mergeCell ref="G3:G4"/>
  </mergeCells>
  <phoneticPr fontId="5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1"/>
  <sheetViews>
    <sheetView topLeftCell="A4" zoomScale="85" zoomScaleNormal="85" workbookViewId="0">
      <pane ySplit="2025" topLeftCell="A168" activePane="bottomLeft"/>
      <selection activeCell="E4" sqref="E4:E7"/>
      <selection pane="bottomLeft" activeCell="A124" sqref="A124"/>
    </sheetView>
    <sheetView topLeftCell="F1" zoomScale="85" zoomScaleNormal="85" workbookViewId="1">
      <pane ySplit="2745" topLeftCell="A166" activePane="bottomLeft"/>
      <selection pane="bottomLeft" activeCell="AF174" sqref="AF174"/>
    </sheetView>
  </sheetViews>
  <sheetFormatPr defaultRowHeight="15"/>
  <cols>
    <col min="2" max="2" width="10.5703125" customWidth="1"/>
    <col min="4" max="4" width="15.7109375" customWidth="1"/>
    <col min="24" max="24" width="9.140625" style="348" customWidth="1"/>
    <col min="31" max="32" width="9.140625" customWidth="1"/>
  </cols>
  <sheetData>
    <row r="1" spans="1:30" ht="15.75">
      <c r="A1" s="892" t="s">
        <v>190</v>
      </c>
    </row>
    <row r="2" spans="1:30" ht="15.75" thickBot="1">
      <c r="F2" s="83"/>
      <c r="L2" s="83"/>
      <c r="T2" s="83"/>
      <c r="AC2" s="83"/>
    </row>
    <row r="3" spans="1:30" ht="15.75" thickBot="1">
      <c r="A3" s="1458" t="s">
        <v>41</v>
      </c>
      <c r="B3" s="1475" t="s">
        <v>191</v>
      </c>
      <c r="C3" s="1476"/>
      <c r="D3" s="1477"/>
      <c r="E3" s="1477"/>
      <c r="F3" s="1477"/>
      <c r="G3" s="1477"/>
      <c r="H3" s="1478"/>
      <c r="I3" s="1491" t="s">
        <v>192</v>
      </c>
      <c r="J3" s="1492"/>
      <c r="K3" s="1493" t="s">
        <v>193</v>
      </c>
      <c r="L3" s="1484"/>
      <c r="M3" s="1484"/>
      <c r="N3" s="1484"/>
      <c r="O3" s="1484"/>
      <c r="P3" s="1379" t="s">
        <v>194</v>
      </c>
      <c r="Q3" s="1487"/>
      <c r="R3" s="1494" t="s">
        <v>195</v>
      </c>
      <c r="S3" s="1491" t="s">
        <v>196</v>
      </c>
      <c r="T3" s="1492"/>
      <c r="U3" s="1492"/>
      <c r="V3" s="1492"/>
      <c r="W3" s="1493"/>
      <c r="X3" s="1475" t="s">
        <v>197</v>
      </c>
      <c r="Y3" s="1478"/>
      <c r="Z3" s="1494" t="s">
        <v>198</v>
      </c>
      <c r="AA3" s="1498" t="s">
        <v>199</v>
      </c>
      <c r="AB3" s="1502" t="s">
        <v>200</v>
      </c>
      <c r="AC3" s="1505" t="s">
        <v>201</v>
      </c>
      <c r="AD3" s="1458" t="s">
        <v>100</v>
      </c>
    </row>
    <row r="4" spans="1:30" ht="15.75" thickBot="1">
      <c r="A4" s="1459"/>
      <c r="B4" s="1458" t="s">
        <v>202</v>
      </c>
      <c r="C4" s="1458" t="s">
        <v>203</v>
      </c>
      <c r="D4" s="1464" t="s">
        <v>204</v>
      </c>
      <c r="E4" s="1502" t="s">
        <v>205</v>
      </c>
      <c r="F4" s="1502" t="s">
        <v>206</v>
      </c>
      <c r="G4" s="1480" t="s">
        <v>207</v>
      </c>
      <c r="H4" s="1502" t="s">
        <v>208</v>
      </c>
      <c r="I4" s="1458" t="s">
        <v>209</v>
      </c>
      <c r="J4" s="1458" t="s">
        <v>210</v>
      </c>
      <c r="K4" s="1370" t="s">
        <v>211</v>
      </c>
      <c r="L4" s="1371"/>
      <c r="M4" s="1372"/>
      <c r="N4" s="1458" t="s">
        <v>212</v>
      </c>
      <c r="O4" s="1498" t="s">
        <v>213</v>
      </c>
      <c r="P4" s="1488"/>
      <c r="Q4" s="1489"/>
      <c r="R4" s="1495"/>
      <c r="S4" s="1480" t="s">
        <v>214</v>
      </c>
      <c r="T4" s="1481"/>
      <c r="U4" s="1480" t="s">
        <v>215</v>
      </c>
      <c r="V4" s="1484"/>
      <c r="W4" s="1458" t="s">
        <v>216</v>
      </c>
      <c r="X4" s="1242" t="s">
        <v>217</v>
      </c>
      <c r="Y4" s="1505" t="s">
        <v>218</v>
      </c>
      <c r="Z4" s="1495"/>
      <c r="AA4" s="1499"/>
      <c r="AB4" s="1503"/>
      <c r="AC4" s="1506"/>
      <c r="AD4" s="1459"/>
    </row>
    <row r="5" spans="1:30" ht="15.75" thickBot="1">
      <c r="A5" s="1459"/>
      <c r="B5" s="1459"/>
      <c r="C5" s="1459"/>
      <c r="D5" s="1464"/>
      <c r="E5" s="1503"/>
      <c r="F5" s="1503"/>
      <c r="G5" s="1508"/>
      <c r="H5" s="1503"/>
      <c r="I5" s="1459"/>
      <c r="J5" s="1459"/>
      <c r="K5" s="1509" t="s">
        <v>219</v>
      </c>
      <c r="L5" s="1510"/>
      <c r="M5" s="1458" t="s">
        <v>2</v>
      </c>
      <c r="N5" s="1459"/>
      <c r="O5" s="1500"/>
      <c r="P5" s="1382"/>
      <c r="Q5" s="1490"/>
      <c r="R5" s="1496"/>
      <c r="S5" s="1482"/>
      <c r="T5" s="1483"/>
      <c r="U5" s="1482"/>
      <c r="V5" s="1485"/>
      <c r="W5" s="1459"/>
      <c r="X5" s="1243"/>
      <c r="Y5" s="1506"/>
      <c r="Z5" s="1496"/>
      <c r="AA5" s="1500"/>
      <c r="AB5" s="1503"/>
      <c r="AC5" s="1506"/>
      <c r="AD5" s="1459"/>
    </row>
    <row r="6" spans="1:30" ht="51.75" thickBot="1">
      <c r="A6" s="1459"/>
      <c r="B6" s="1459"/>
      <c r="C6" s="1459"/>
      <c r="D6" s="1464"/>
      <c r="E6" s="1503"/>
      <c r="F6" s="1504"/>
      <c r="G6" s="1482"/>
      <c r="H6" s="1503"/>
      <c r="I6" s="1486"/>
      <c r="J6" s="1486"/>
      <c r="K6" s="102" t="s">
        <v>220</v>
      </c>
      <c r="L6" s="204" t="s">
        <v>221</v>
      </c>
      <c r="M6" s="1486"/>
      <c r="N6" s="1486"/>
      <c r="O6" s="1501"/>
      <c r="P6" s="205" t="s">
        <v>222</v>
      </c>
      <c r="Q6" s="205" t="s">
        <v>223</v>
      </c>
      <c r="R6" s="1497"/>
      <c r="S6" s="205" t="s">
        <v>224</v>
      </c>
      <c r="T6" s="205" t="s">
        <v>225</v>
      </c>
      <c r="U6" s="489" t="s">
        <v>226</v>
      </c>
      <c r="V6" s="205" t="s">
        <v>227</v>
      </c>
      <c r="W6" s="1486"/>
      <c r="X6" s="1244"/>
      <c r="Y6" s="1507"/>
      <c r="Z6" s="1497"/>
      <c r="AA6" s="1501"/>
      <c r="AB6" s="1504"/>
      <c r="AC6" s="1507"/>
      <c r="AD6" s="1459"/>
    </row>
    <row r="7" spans="1:30" ht="15.75" thickBot="1">
      <c r="A7" s="1459"/>
      <c r="B7" s="1459"/>
      <c r="C7" s="1459"/>
      <c r="D7" s="1464"/>
      <c r="E7" s="1503"/>
      <c r="F7" s="206" t="s">
        <v>65</v>
      </c>
      <c r="G7" s="45" t="s">
        <v>65</v>
      </c>
      <c r="H7" s="1503"/>
      <c r="I7" s="206" t="s">
        <v>65</v>
      </c>
      <c r="J7" s="206" t="s">
        <v>228</v>
      </c>
      <c r="K7" s="206" t="s">
        <v>63</v>
      </c>
      <c r="L7" s="206" t="s">
        <v>63</v>
      </c>
      <c r="M7" s="206" t="s">
        <v>63</v>
      </c>
      <c r="N7" s="206" t="s">
        <v>63</v>
      </c>
      <c r="O7" s="206" t="s">
        <v>63</v>
      </c>
      <c r="P7" s="206" t="s">
        <v>63</v>
      </c>
      <c r="Q7" s="206" t="s">
        <v>63</v>
      </c>
      <c r="R7" s="206" t="s">
        <v>63</v>
      </c>
      <c r="S7" s="206" t="s">
        <v>17</v>
      </c>
      <c r="T7" s="206" t="s">
        <v>17</v>
      </c>
      <c r="U7" s="206" t="s">
        <v>17</v>
      </c>
      <c r="V7" s="206" t="s">
        <v>17</v>
      </c>
      <c r="W7" s="206" t="s">
        <v>17</v>
      </c>
      <c r="X7" s="460" t="s">
        <v>17</v>
      </c>
      <c r="Y7" s="206" t="s">
        <v>17</v>
      </c>
      <c r="Z7" s="206" t="s">
        <v>24</v>
      </c>
      <c r="AA7" s="206" t="s">
        <v>20</v>
      </c>
      <c r="AB7" s="206" t="s">
        <v>135</v>
      </c>
      <c r="AC7" s="206" t="s">
        <v>24</v>
      </c>
      <c r="AD7" s="1459"/>
    </row>
    <row r="8" spans="1:30" ht="15.75" thickBot="1">
      <c r="A8" s="137" t="s">
        <v>45</v>
      </c>
      <c r="B8" s="207" t="s">
        <v>46</v>
      </c>
      <c r="C8" s="207" t="s">
        <v>47</v>
      </c>
      <c r="D8" s="207" t="s">
        <v>48</v>
      </c>
      <c r="E8" s="207" t="s">
        <v>49</v>
      </c>
      <c r="F8" s="207" t="s">
        <v>50</v>
      </c>
      <c r="G8" s="207" t="s">
        <v>51</v>
      </c>
      <c r="H8" s="207" t="s">
        <v>52</v>
      </c>
      <c r="I8" s="207" t="s">
        <v>53</v>
      </c>
      <c r="J8" s="207" t="s">
        <v>229</v>
      </c>
      <c r="K8" s="207" t="s">
        <v>230</v>
      </c>
      <c r="L8" s="207" t="s">
        <v>231</v>
      </c>
      <c r="M8" s="207" t="s">
        <v>232</v>
      </c>
      <c r="N8" s="207" t="s">
        <v>233</v>
      </c>
      <c r="O8" s="207" t="s">
        <v>234</v>
      </c>
      <c r="P8" s="207" t="s">
        <v>235</v>
      </c>
      <c r="Q8" s="207" t="s">
        <v>236</v>
      </c>
      <c r="R8" s="207" t="s">
        <v>237</v>
      </c>
      <c r="S8" s="207" t="s">
        <v>238</v>
      </c>
      <c r="T8" s="207" t="s">
        <v>239</v>
      </c>
      <c r="U8" s="207" t="s">
        <v>240</v>
      </c>
      <c r="V8" s="207" t="s">
        <v>241</v>
      </c>
      <c r="W8" s="207" t="s">
        <v>242</v>
      </c>
      <c r="X8" s="464" t="s">
        <v>243</v>
      </c>
      <c r="Y8" s="207" t="s">
        <v>244</v>
      </c>
      <c r="Z8" s="207" t="s">
        <v>245</v>
      </c>
      <c r="AA8" s="207" t="s">
        <v>246</v>
      </c>
      <c r="AB8" s="207" t="s">
        <v>247</v>
      </c>
      <c r="AC8" s="207" t="s">
        <v>248</v>
      </c>
      <c r="AD8" s="59" t="s">
        <v>249</v>
      </c>
    </row>
    <row r="9" spans="1:30" ht="28.5" customHeight="1">
      <c r="A9" s="1471" t="s">
        <v>546</v>
      </c>
      <c r="B9" s="1472"/>
      <c r="C9" s="299" t="s">
        <v>159</v>
      </c>
      <c r="D9" s="284"/>
      <c r="E9" s="283"/>
      <c r="F9" s="283"/>
      <c r="G9" s="254"/>
      <c r="H9" s="254"/>
      <c r="I9" s="283"/>
      <c r="J9" s="283"/>
      <c r="K9" s="254"/>
      <c r="L9" s="254"/>
      <c r="M9" s="254"/>
      <c r="N9" s="254"/>
      <c r="O9" s="254"/>
      <c r="P9" s="254"/>
      <c r="Q9" s="254"/>
      <c r="R9" s="254"/>
      <c r="S9" s="254"/>
      <c r="T9" s="283"/>
      <c r="U9" s="254"/>
      <c r="V9" s="283"/>
      <c r="W9" s="254"/>
      <c r="X9" s="465"/>
      <c r="Y9" s="254"/>
      <c r="Z9" s="254"/>
      <c r="AA9" s="254"/>
      <c r="AB9" s="283"/>
      <c r="AC9" s="254"/>
      <c r="AD9" s="285"/>
    </row>
    <row r="10" spans="1:30" ht="15.75" thickBot="1">
      <c r="A10" s="1473">
        <v>6112740020050</v>
      </c>
      <c r="B10" s="1474"/>
      <c r="C10" s="300" t="s">
        <v>547</v>
      </c>
      <c r="D10" s="288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466"/>
      <c r="Y10" s="287"/>
      <c r="Z10" s="287"/>
      <c r="AA10" s="287"/>
      <c r="AB10" s="287"/>
      <c r="AC10" s="287"/>
      <c r="AD10" s="490"/>
    </row>
    <row r="11" spans="1:30" s="144" customFormat="1" ht="45" customHeight="1">
      <c r="A11" s="491">
        <v>1</v>
      </c>
      <c r="B11" s="253" t="s">
        <v>419</v>
      </c>
      <c r="C11" s="220" t="s">
        <v>8</v>
      </c>
      <c r="D11" s="601" t="s">
        <v>437</v>
      </c>
      <c r="E11" s="224" t="s">
        <v>250</v>
      </c>
      <c r="F11" s="224">
        <v>756</v>
      </c>
      <c r="G11" s="898">
        <v>0.6</v>
      </c>
      <c r="H11" s="899">
        <v>1.75</v>
      </c>
      <c r="I11" s="900">
        <v>1</v>
      </c>
      <c r="J11" s="320">
        <v>1.6</v>
      </c>
      <c r="K11" s="594">
        <f>F11*J11+SUM(I11:J11)</f>
        <v>1212.2</v>
      </c>
      <c r="L11" s="595"/>
      <c r="M11" s="595">
        <f t="shared" ref="M11:M23" si="0">K11</f>
        <v>1212.2</v>
      </c>
      <c r="N11" s="596"/>
      <c r="O11" s="596"/>
      <c r="P11" s="595">
        <f>M11*0.6</f>
        <v>727.32</v>
      </c>
      <c r="Q11" s="596">
        <v>601</v>
      </c>
      <c r="R11" s="596"/>
      <c r="S11" s="597"/>
      <c r="T11" s="598">
        <f>4*F11/10000</f>
        <v>0.3024</v>
      </c>
      <c r="U11" s="597"/>
      <c r="V11" s="598">
        <f>8*F11/10000</f>
        <v>0.6048</v>
      </c>
      <c r="W11" s="596"/>
      <c r="X11" s="599">
        <f>SUM(S11:W11)</f>
        <v>0.90720000000000001</v>
      </c>
      <c r="Y11" s="596"/>
      <c r="Z11" s="596"/>
      <c r="AA11" s="596"/>
      <c r="AB11" s="224">
        <v>10</v>
      </c>
      <c r="AC11" s="596">
        <v>2</v>
      </c>
      <c r="AD11" s="600"/>
    </row>
    <row r="12" spans="1:30">
      <c r="A12" s="492">
        <v>2</v>
      </c>
      <c r="B12" s="314" t="s">
        <v>6</v>
      </c>
      <c r="C12" s="315" t="s">
        <v>8</v>
      </c>
      <c r="D12" s="252" t="s">
        <v>430</v>
      </c>
      <c r="E12" s="286" t="s">
        <v>253</v>
      </c>
      <c r="F12" s="725">
        <v>578</v>
      </c>
      <c r="G12" s="62">
        <v>0.6</v>
      </c>
      <c r="H12" s="115">
        <v>1.75</v>
      </c>
      <c r="I12" s="226">
        <v>1</v>
      </c>
      <c r="J12" s="226">
        <v>1.6</v>
      </c>
      <c r="K12" s="208">
        <f t="shared" ref="K12:K23" si="1">J12*F12</f>
        <v>924.80000000000007</v>
      </c>
      <c r="L12" s="20"/>
      <c r="M12" s="20">
        <f t="shared" si="0"/>
        <v>924.80000000000007</v>
      </c>
      <c r="N12" s="62"/>
      <c r="O12" s="62"/>
      <c r="P12" s="20">
        <f t="shared" ref="P12:P23" si="2">M12*0.6</f>
        <v>554.88</v>
      </c>
      <c r="Q12" s="62">
        <v>505</v>
      </c>
      <c r="R12" s="62"/>
      <c r="S12" s="15"/>
      <c r="T12" s="227"/>
      <c r="U12" s="227">
        <f>12*F12/10000</f>
        <v>0.69359999999999999</v>
      </c>
      <c r="V12" s="227"/>
      <c r="W12" s="62"/>
      <c r="X12" s="390">
        <f>SUM(S12:W12)</f>
        <v>0.69359999999999999</v>
      </c>
      <c r="Y12" s="62"/>
      <c r="Z12" s="62"/>
      <c r="AA12" s="62"/>
      <c r="AB12" s="225"/>
      <c r="AC12" s="62">
        <v>2</v>
      </c>
      <c r="AD12" s="13"/>
    </row>
    <row r="13" spans="1:30">
      <c r="A13" s="492">
        <v>3</v>
      </c>
      <c r="B13" s="314" t="s">
        <v>420</v>
      </c>
      <c r="C13" s="315" t="s">
        <v>8</v>
      </c>
      <c r="D13" s="316" t="s">
        <v>431</v>
      </c>
      <c r="E13" s="286" t="s">
        <v>253</v>
      </c>
      <c r="F13" s="225">
        <v>225</v>
      </c>
      <c r="G13" s="62">
        <v>0.6</v>
      </c>
      <c r="H13" s="115">
        <v>1.75</v>
      </c>
      <c r="I13" s="226">
        <v>1</v>
      </c>
      <c r="J13" s="226">
        <v>1.5</v>
      </c>
      <c r="K13" s="208">
        <f t="shared" si="1"/>
        <v>337.5</v>
      </c>
      <c r="L13" s="20"/>
      <c r="M13" s="20">
        <f t="shared" si="0"/>
        <v>337.5</v>
      </c>
      <c r="N13" s="62"/>
      <c r="O13" s="62"/>
      <c r="P13" s="20">
        <f t="shared" si="2"/>
        <v>202.5</v>
      </c>
      <c r="Q13" s="62"/>
      <c r="R13" s="62"/>
      <c r="S13" s="15"/>
      <c r="T13" s="227">
        <v>0.1125</v>
      </c>
      <c r="U13" s="227"/>
      <c r="V13" s="227"/>
      <c r="W13" s="62"/>
      <c r="X13" s="390">
        <f t="shared" ref="X13:X23" si="3">SUM(S13:W13)</f>
        <v>0.1125</v>
      </c>
      <c r="Y13" s="62"/>
      <c r="Z13" s="62"/>
      <c r="AA13" s="62"/>
      <c r="AB13" s="225"/>
      <c r="AC13" s="62"/>
      <c r="AD13" s="13"/>
    </row>
    <row r="14" spans="1:30">
      <c r="A14" s="492">
        <v>4</v>
      </c>
      <c r="B14" s="314" t="s">
        <v>421</v>
      </c>
      <c r="C14" s="315" t="s">
        <v>8</v>
      </c>
      <c r="D14" s="316" t="s">
        <v>432</v>
      </c>
      <c r="E14" s="286" t="s">
        <v>253</v>
      </c>
      <c r="F14" s="225">
        <v>238</v>
      </c>
      <c r="G14" s="62">
        <v>0.6</v>
      </c>
      <c r="H14" s="115">
        <v>1.75</v>
      </c>
      <c r="I14" s="226">
        <v>1</v>
      </c>
      <c r="J14" s="226">
        <v>1.5</v>
      </c>
      <c r="K14" s="208">
        <f t="shared" si="1"/>
        <v>357</v>
      </c>
      <c r="L14" s="20"/>
      <c r="M14" s="20">
        <f t="shared" si="0"/>
        <v>357</v>
      </c>
      <c r="N14" s="62"/>
      <c r="O14" s="62"/>
      <c r="P14" s="20">
        <f t="shared" si="2"/>
        <v>214.2</v>
      </c>
      <c r="Q14" s="62"/>
      <c r="R14" s="62"/>
      <c r="S14" s="15"/>
      <c r="T14" s="227">
        <v>9.5200000000000007E-2</v>
      </c>
      <c r="U14" s="227"/>
      <c r="V14" s="227">
        <v>0.19040000000000001</v>
      </c>
      <c r="W14" s="62"/>
      <c r="X14" s="390">
        <f t="shared" si="3"/>
        <v>0.28560000000000002</v>
      </c>
      <c r="Y14" s="62"/>
      <c r="Z14" s="62"/>
      <c r="AA14" s="62"/>
      <c r="AB14" s="225"/>
      <c r="AC14" s="62">
        <v>1</v>
      </c>
      <c r="AD14" s="13"/>
    </row>
    <row r="15" spans="1:30">
      <c r="A15" s="492">
        <v>5</v>
      </c>
      <c r="B15" s="314" t="s">
        <v>422</v>
      </c>
      <c r="C15" s="315" t="s">
        <v>8</v>
      </c>
      <c r="D15" s="316" t="s">
        <v>434</v>
      </c>
      <c r="E15" s="286" t="s">
        <v>253</v>
      </c>
      <c r="F15" s="225">
        <v>375</v>
      </c>
      <c r="G15" s="62">
        <v>0.6</v>
      </c>
      <c r="H15" s="115">
        <v>1.75</v>
      </c>
      <c r="I15" s="226">
        <v>1</v>
      </c>
      <c r="J15" s="226">
        <v>1.6</v>
      </c>
      <c r="K15" s="208">
        <f t="shared" si="1"/>
        <v>600</v>
      </c>
      <c r="L15" s="20"/>
      <c r="M15" s="20">
        <f t="shared" si="0"/>
        <v>600</v>
      </c>
      <c r="N15" s="62"/>
      <c r="O15" s="62"/>
      <c r="P15" s="20">
        <f t="shared" si="2"/>
        <v>360</v>
      </c>
      <c r="Q15" s="62">
        <v>378</v>
      </c>
      <c r="R15" s="62"/>
      <c r="S15" s="15"/>
      <c r="T15" s="227">
        <v>0.3024</v>
      </c>
      <c r="U15" s="227"/>
      <c r="V15" s="227">
        <v>0.6048</v>
      </c>
      <c r="W15" s="62"/>
      <c r="X15" s="390">
        <f t="shared" si="3"/>
        <v>0.90720000000000001</v>
      </c>
      <c r="Y15" s="62"/>
      <c r="Z15" s="62"/>
      <c r="AA15" s="62"/>
      <c r="AB15" s="225">
        <v>7</v>
      </c>
      <c r="AC15" s="62">
        <f t="shared" ref="AC15" si="4">SUM(AB15)</f>
        <v>7</v>
      </c>
      <c r="AD15" s="64"/>
    </row>
    <row r="16" spans="1:30">
      <c r="A16" s="492">
        <v>6</v>
      </c>
      <c r="B16" s="978" t="s">
        <v>422</v>
      </c>
      <c r="C16" s="315" t="s">
        <v>8</v>
      </c>
      <c r="D16" s="316" t="s">
        <v>431</v>
      </c>
      <c r="E16" s="286" t="s">
        <v>255</v>
      </c>
      <c r="F16" s="225">
        <v>381</v>
      </c>
      <c r="G16" s="62"/>
      <c r="H16" s="115"/>
      <c r="I16" s="226"/>
      <c r="J16" s="226"/>
      <c r="K16" s="208"/>
      <c r="L16" s="20"/>
      <c r="M16" s="20"/>
      <c r="N16" s="62"/>
      <c r="O16" s="62"/>
      <c r="P16" s="20"/>
      <c r="Q16" s="62"/>
      <c r="R16" s="62"/>
      <c r="S16" s="15"/>
      <c r="T16" s="227"/>
      <c r="U16" s="227"/>
      <c r="V16" s="227"/>
      <c r="W16" s="62"/>
      <c r="X16" s="390"/>
      <c r="Y16" s="62"/>
      <c r="Z16" s="62"/>
      <c r="AA16" s="15">
        <f>F16/1000</f>
        <v>0.38100000000000001</v>
      </c>
      <c r="AB16" s="225"/>
      <c r="AC16" s="62"/>
      <c r="AD16" s="64"/>
    </row>
    <row r="17" spans="1:30">
      <c r="A17" s="492">
        <v>7</v>
      </c>
      <c r="B17" s="314" t="s">
        <v>423</v>
      </c>
      <c r="C17" s="315" t="s">
        <v>8</v>
      </c>
      <c r="D17" s="316" t="s">
        <v>433</v>
      </c>
      <c r="E17" s="286" t="s">
        <v>253</v>
      </c>
      <c r="F17" s="225">
        <v>325</v>
      </c>
      <c r="G17" s="62">
        <v>0.6</v>
      </c>
      <c r="H17" s="115">
        <v>1.75</v>
      </c>
      <c r="I17" s="226">
        <v>1</v>
      </c>
      <c r="J17" s="226">
        <v>1.6</v>
      </c>
      <c r="K17" s="208">
        <f t="shared" si="1"/>
        <v>520</v>
      </c>
      <c r="L17" s="20"/>
      <c r="M17" s="20">
        <f t="shared" si="0"/>
        <v>520</v>
      </c>
      <c r="N17" s="62"/>
      <c r="O17" s="62"/>
      <c r="P17" s="20">
        <f t="shared" si="2"/>
        <v>312</v>
      </c>
      <c r="Q17" s="62"/>
      <c r="R17" s="62"/>
      <c r="S17" s="15"/>
      <c r="T17" s="227">
        <v>0.13</v>
      </c>
      <c r="U17" s="227">
        <v>0.26</v>
      </c>
      <c r="V17" s="227"/>
      <c r="W17" s="62"/>
      <c r="X17" s="390">
        <f t="shared" si="3"/>
        <v>0.39</v>
      </c>
      <c r="Y17" s="62"/>
      <c r="Z17" s="62"/>
      <c r="AA17" s="62"/>
      <c r="AB17" s="225"/>
      <c r="AC17" s="62"/>
      <c r="AD17" s="64"/>
    </row>
    <row r="18" spans="1:30">
      <c r="A18" s="492">
        <v>8</v>
      </c>
      <c r="B18" s="314" t="s">
        <v>424</v>
      </c>
      <c r="C18" s="315" t="s">
        <v>8</v>
      </c>
      <c r="D18" s="316" t="s">
        <v>433</v>
      </c>
      <c r="E18" s="286" t="s">
        <v>253</v>
      </c>
      <c r="F18" s="225">
        <v>435</v>
      </c>
      <c r="G18" s="62">
        <v>0.6</v>
      </c>
      <c r="H18" s="115">
        <v>1.75</v>
      </c>
      <c r="I18" s="226">
        <v>1</v>
      </c>
      <c r="J18" s="226">
        <v>1.8</v>
      </c>
      <c r="K18" s="208">
        <f t="shared" si="1"/>
        <v>783</v>
      </c>
      <c r="L18" s="20"/>
      <c r="M18" s="20">
        <f t="shared" si="0"/>
        <v>783</v>
      </c>
      <c r="N18" s="62"/>
      <c r="O18" s="62"/>
      <c r="P18" s="20">
        <f t="shared" si="2"/>
        <v>469.79999999999995</v>
      </c>
      <c r="Q18" s="62"/>
      <c r="R18" s="62"/>
      <c r="S18" s="15"/>
      <c r="T18" s="227"/>
      <c r="U18" s="227">
        <v>0.52200000000000002</v>
      </c>
      <c r="V18" s="227"/>
      <c r="W18" s="62"/>
      <c r="X18" s="390">
        <f t="shared" si="3"/>
        <v>0.52200000000000002</v>
      </c>
      <c r="Y18" s="62"/>
      <c r="Z18" s="62"/>
      <c r="AA18" s="62"/>
      <c r="AB18" s="225"/>
      <c r="AC18" s="62">
        <v>1</v>
      </c>
      <c r="AD18" s="13"/>
    </row>
    <row r="19" spans="1:30">
      <c r="A19" s="492">
        <v>9</v>
      </c>
      <c r="B19" s="314" t="s">
        <v>425</v>
      </c>
      <c r="C19" s="315" t="s">
        <v>8</v>
      </c>
      <c r="D19" s="316" t="s">
        <v>433</v>
      </c>
      <c r="E19" s="286" t="s">
        <v>253</v>
      </c>
      <c r="F19" s="225">
        <v>316</v>
      </c>
      <c r="G19" s="62">
        <v>0.6</v>
      </c>
      <c r="H19" s="115">
        <v>1.75</v>
      </c>
      <c r="I19" s="226">
        <v>1</v>
      </c>
      <c r="J19" s="226">
        <v>1.6</v>
      </c>
      <c r="K19" s="208">
        <f t="shared" si="1"/>
        <v>505.6</v>
      </c>
      <c r="L19" s="20"/>
      <c r="M19" s="20">
        <f t="shared" si="0"/>
        <v>505.6</v>
      </c>
      <c r="N19" s="62"/>
      <c r="O19" s="62"/>
      <c r="P19" s="20">
        <f t="shared" si="2"/>
        <v>303.36</v>
      </c>
      <c r="Q19" s="62"/>
      <c r="R19" s="62"/>
      <c r="S19" s="15"/>
      <c r="T19" s="227">
        <v>0.12640000000000001</v>
      </c>
      <c r="U19" s="227"/>
      <c r="V19" s="227">
        <v>0.25280000000000002</v>
      </c>
      <c r="W19" s="62"/>
      <c r="X19" s="390">
        <f t="shared" si="3"/>
        <v>0.37920000000000004</v>
      </c>
      <c r="Y19" s="62"/>
      <c r="Z19" s="62"/>
      <c r="AA19" s="62"/>
      <c r="AB19" s="225"/>
      <c r="AC19" s="62"/>
      <c r="AD19" s="13"/>
    </row>
    <row r="20" spans="1:30">
      <c r="A20" s="492">
        <v>10</v>
      </c>
      <c r="B20" s="314" t="s">
        <v>426</v>
      </c>
      <c r="C20" s="315" t="s">
        <v>8</v>
      </c>
      <c r="D20" s="316" t="s">
        <v>433</v>
      </c>
      <c r="E20" s="286" t="s">
        <v>253</v>
      </c>
      <c r="F20" s="225">
        <v>379</v>
      </c>
      <c r="G20" s="62">
        <v>0.6</v>
      </c>
      <c r="H20" s="115">
        <v>1.75</v>
      </c>
      <c r="I20" s="226">
        <v>1</v>
      </c>
      <c r="J20" s="226">
        <v>1.6</v>
      </c>
      <c r="K20" s="208">
        <f t="shared" si="1"/>
        <v>606.4</v>
      </c>
      <c r="L20" s="20"/>
      <c r="M20" s="20">
        <f t="shared" si="0"/>
        <v>606.4</v>
      </c>
      <c r="N20" s="62"/>
      <c r="O20" s="62"/>
      <c r="P20" s="20">
        <f t="shared" si="2"/>
        <v>363.84</v>
      </c>
      <c r="Q20" s="62"/>
      <c r="R20" s="62"/>
      <c r="S20" s="15"/>
      <c r="T20" s="227"/>
      <c r="U20" s="227"/>
      <c r="V20" s="227">
        <v>0.45479999999999998</v>
      </c>
      <c r="W20" s="62"/>
      <c r="X20" s="390">
        <f t="shared" si="3"/>
        <v>0.45479999999999998</v>
      </c>
      <c r="Y20" s="62"/>
      <c r="Z20" s="62"/>
      <c r="AA20" s="62"/>
      <c r="AB20" s="225"/>
      <c r="AC20" s="62">
        <v>1</v>
      </c>
      <c r="AD20" s="13"/>
    </row>
    <row r="21" spans="1:30">
      <c r="A21" s="492">
        <v>11</v>
      </c>
      <c r="B21" s="314" t="s">
        <v>427</v>
      </c>
      <c r="C21" s="315" t="s">
        <v>8</v>
      </c>
      <c r="D21" s="316" t="s">
        <v>434</v>
      </c>
      <c r="E21" s="286" t="s">
        <v>871</v>
      </c>
      <c r="F21" s="225">
        <v>275</v>
      </c>
      <c r="G21" s="62">
        <v>0.6</v>
      </c>
      <c r="H21" s="115">
        <v>1.75</v>
      </c>
      <c r="I21" s="226">
        <v>1</v>
      </c>
      <c r="J21" s="226">
        <v>1.2</v>
      </c>
      <c r="K21" s="208">
        <f t="shared" si="1"/>
        <v>330</v>
      </c>
      <c r="L21" s="62"/>
      <c r="M21" s="20">
        <f t="shared" si="0"/>
        <v>330</v>
      </c>
      <c r="N21" s="62"/>
      <c r="O21" s="62"/>
      <c r="P21" s="20">
        <f t="shared" si="2"/>
        <v>198</v>
      </c>
      <c r="Q21" s="62"/>
      <c r="R21" s="62"/>
      <c r="S21" s="15"/>
      <c r="T21" s="227">
        <v>0.22</v>
      </c>
      <c r="U21" s="227">
        <v>0.11</v>
      </c>
      <c r="V21" s="227"/>
      <c r="W21" s="62"/>
      <c r="X21" s="390">
        <f t="shared" si="3"/>
        <v>0.33</v>
      </c>
      <c r="Y21" s="62"/>
      <c r="Z21" s="62"/>
      <c r="AA21" s="62"/>
      <c r="AB21" s="225"/>
      <c r="AC21" s="62"/>
      <c r="AD21" s="13"/>
    </row>
    <row r="22" spans="1:30">
      <c r="A22" s="493">
        <v>12</v>
      </c>
      <c r="B22" s="314" t="s">
        <v>428</v>
      </c>
      <c r="C22" s="315" t="s">
        <v>8</v>
      </c>
      <c r="D22" s="316" t="s">
        <v>435</v>
      </c>
      <c r="E22" s="286" t="s">
        <v>253</v>
      </c>
      <c r="F22" s="977">
        <v>417</v>
      </c>
      <c r="G22" s="62">
        <v>0.6</v>
      </c>
      <c r="H22" s="115">
        <v>1.75</v>
      </c>
      <c r="I22" s="226">
        <v>1</v>
      </c>
      <c r="J22" s="226">
        <v>1.8</v>
      </c>
      <c r="K22" s="208">
        <f t="shared" si="1"/>
        <v>750.6</v>
      </c>
      <c r="L22" s="62"/>
      <c r="M22" s="20">
        <f t="shared" si="0"/>
        <v>750.6</v>
      </c>
      <c r="N22" s="138"/>
      <c r="O22" s="62"/>
      <c r="P22" s="20">
        <f t="shared" si="2"/>
        <v>450.36</v>
      </c>
      <c r="Q22" s="62"/>
      <c r="R22" s="62"/>
      <c r="S22" s="15"/>
      <c r="T22" s="227"/>
      <c r="U22" s="227"/>
      <c r="V22" s="227">
        <v>0.49080000000000001</v>
      </c>
      <c r="W22" s="62"/>
      <c r="X22" s="390">
        <f t="shared" si="3"/>
        <v>0.49080000000000001</v>
      </c>
      <c r="Y22" s="62"/>
      <c r="Z22" s="62"/>
      <c r="AA22" s="15">
        <f>F22/1000</f>
        <v>0.41699999999999998</v>
      </c>
      <c r="AB22" s="225"/>
      <c r="AC22" s="62"/>
      <c r="AD22" s="13"/>
    </row>
    <row r="23" spans="1:30">
      <c r="A23" s="492">
        <v>13</v>
      </c>
      <c r="B23" s="317" t="s">
        <v>429</v>
      </c>
      <c r="C23" s="315" t="s">
        <v>8</v>
      </c>
      <c r="D23" s="318" t="s">
        <v>436</v>
      </c>
      <c r="E23" s="319" t="s">
        <v>253</v>
      </c>
      <c r="F23" s="228">
        <v>227</v>
      </c>
      <c r="G23" s="62">
        <v>0.6</v>
      </c>
      <c r="H23" s="115">
        <v>1.75</v>
      </c>
      <c r="I23" s="226">
        <v>1</v>
      </c>
      <c r="J23" s="229">
        <v>1.8</v>
      </c>
      <c r="K23" s="210">
        <f t="shared" si="1"/>
        <v>408.6</v>
      </c>
      <c r="L23" s="138"/>
      <c r="M23" s="139">
        <f t="shared" si="0"/>
        <v>408.6</v>
      </c>
      <c r="N23" s="138"/>
      <c r="O23" s="138"/>
      <c r="P23" s="139">
        <f t="shared" si="2"/>
        <v>245.16</v>
      </c>
      <c r="Q23" s="138"/>
      <c r="R23" s="138"/>
      <c r="S23" s="211"/>
      <c r="T23" s="230"/>
      <c r="U23" s="230">
        <v>9.0800000000000006E-2</v>
      </c>
      <c r="V23" s="230">
        <v>0.18160000000000001</v>
      </c>
      <c r="W23" s="138"/>
      <c r="X23" s="390">
        <f t="shared" si="3"/>
        <v>0.27240000000000003</v>
      </c>
      <c r="Y23" s="138"/>
      <c r="Z23" s="138"/>
      <c r="AA23" s="138"/>
      <c r="AB23" s="228"/>
      <c r="AC23" s="138">
        <v>2</v>
      </c>
      <c r="AD23" s="140"/>
    </row>
    <row r="24" spans="1:30" ht="15.75" thickBot="1">
      <c r="A24" s="494"/>
      <c r="B24" s="880"/>
      <c r="C24" s="871"/>
      <c r="D24" s="214"/>
      <c r="E24" s="219"/>
      <c r="F24" s="219"/>
      <c r="G24" s="65"/>
      <c r="H24" s="218"/>
      <c r="I24" s="217"/>
      <c r="J24" s="217"/>
      <c r="K24" s="216"/>
      <c r="L24" s="65"/>
      <c r="M24" s="29"/>
      <c r="N24" s="65"/>
      <c r="O24" s="65"/>
      <c r="P24" s="29"/>
      <c r="Q24" s="65"/>
      <c r="R24" s="65"/>
      <c r="S24" s="23"/>
      <c r="T24" s="223"/>
      <c r="U24" s="223"/>
      <c r="V24" s="223"/>
      <c r="W24" s="65"/>
      <c r="X24" s="467"/>
      <c r="Y24" s="65"/>
      <c r="Z24" s="65"/>
      <c r="AA24" s="65"/>
      <c r="AB24" s="219"/>
      <c r="AC24" s="65"/>
      <c r="AD24" s="21"/>
    </row>
    <row r="25" spans="1:30" ht="15.75" thickBot="1">
      <c r="A25" s="495"/>
      <c r="B25" s="1448" t="s">
        <v>438</v>
      </c>
      <c r="C25" s="1449"/>
      <c r="D25" s="222"/>
      <c r="E25" s="855"/>
      <c r="F25" s="221">
        <f>SUM(F11:F24)</f>
        <v>4927</v>
      </c>
      <c r="G25" s="268"/>
      <c r="H25" s="269"/>
      <c r="I25" s="270"/>
      <c r="J25" s="270"/>
      <c r="K25" s="271">
        <f>SUM(K11:K24)</f>
        <v>7335.7000000000007</v>
      </c>
      <c r="L25" s="268"/>
      <c r="M25" s="272">
        <f>SUM(M11:M24)</f>
        <v>7335.7000000000007</v>
      </c>
      <c r="N25" s="268"/>
      <c r="O25" s="268"/>
      <c r="P25" s="272">
        <f>SUM(P11:P24)</f>
        <v>4401.42</v>
      </c>
      <c r="Q25" s="268">
        <f>SUM(Q11:Q24)</f>
        <v>1484</v>
      </c>
      <c r="R25" s="268"/>
      <c r="S25" s="273"/>
      <c r="T25" s="274">
        <f>SUM(T11:T24)</f>
        <v>1.2888999999999999</v>
      </c>
      <c r="U25" s="274">
        <f>SUM(U11:U24)</f>
        <v>1.6764000000000001</v>
      </c>
      <c r="V25" s="274">
        <f>SUM(V11:V24)</f>
        <v>2.7800000000000002</v>
      </c>
      <c r="W25" s="268"/>
      <c r="X25" s="468">
        <f>SUM(X11:X24)</f>
        <v>5.7453000000000003</v>
      </c>
      <c r="Y25" s="268"/>
      <c r="Z25" s="268"/>
      <c r="AA25" s="273">
        <f>SUM(AA11:AA24)</f>
        <v>0.79800000000000004</v>
      </c>
      <c r="AB25" s="221">
        <f>SUM(AB11:AB24)</f>
        <v>17</v>
      </c>
      <c r="AC25" s="268">
        <f>SUM(AC11:AC24)</f>
        <v>16</v>
      </c>
      <c r="AD25" s="276"/>
    </row>
    <row r="26" spans="1:30">
      <c r="A26" s="937"/>
      <c r="B26" s="1470" t="s">
        <v>439</v>
      </c>
      <c r="C26" s="1470"/>
      <c r="D26" s="938"/>
      <c r="E26" s="939"/>
      <c r="F26" s="940">
        <f>F11</f>
        <v>756</v>
      </c>
      <c r="G26" s="941"/>
      <c r="H26" s="942"/>
      <c r="I26" s="943"/>
      <c r="J26" s="943"/>
      <c r="K26" s="944">
        <f>K11</f>
        <v>1212.2</v>
      </c>
      <c r="L26" s="945"/>
      <c r="M26" s="944">
        <f>M11</f>
        <v>1212.2</v>
      </c>
      <c r="N26" s="945"/>
      <c r="O26" s="945"/>
      <c r="P26" s="944">
        <f>P11</f>
        <v>727.32</v>
      </c>
      <c r="Q26" s="944">
        <f>Q11</f>
        <v>601</v>
      </c>
      <c r="R26" s="941"/>
      <c r="S26" s="946"/>
      <c r="T26" s="947">
        <f t="shared" ref="T26:V26" si="5">T11</f>
        <v>0.3024</v>
      </c>
      <c r="U26" s="947"/>
      <c r="V26" s="947">
        <f t="shared" si="5"/>
        <v>0.6048</v>
      </c>
      <c r="W26" s="941"/>
      <c r="X26" s="947">
        <f>X11</f>
        <v>0.90720000000000001</v>
      </c>
      <c r="Y26" s="941"/>
      <c r="Z26" s="941"/>
      <c r="AA26" s="947"/>
      <c r="AB26" s="940">
        <f>AB11</f>
        <v>10</v>
      </c>
      <c r="AC26" s="941">
        <f>AC11</f>
        <v>2</v>
      </c>
      <c r="AD26" s="948"/>
    </row>
    <row r="27" spans="1:30">
      <c r="A27" s="949"/>
      <c r="B27" s="1479" t="s">
        <v>440</v>
      </c>
      <c r="C27" s="1479"/>
      <c r="D27" s="950"/>
      <c r="E27" s="951"/>
      <c r="F27" s="952">
        <f>F12+F13+F14+F15+F17+F18+F19+F20+F22+F23</f>
        <v>3515</v>
      </c>
      <c r="G27" s="953"/>
      <c r="H27" s="954"/>
      <c r="I27" s="955"/>
      <c r="J27" s="955"/>
      <c r="K27" s="956">
        <f>K12+K13+K14+K15+K17+K18+K19+K20+K22+K23</f>
        <v>5793.5000000000009</v>
      </c>
      <c r="L27" s="957"/>
      <c r="M27" s="956">
        <f>M12+M13+M14+M15+M17+M18+M19+M20+M22+M23</f>
        <v>5793.5000000000009</v>
      </c>
      <c r="N27" s="957"/>
      <c r="O27" s="957"/>
      <c r="P27" s="956">
        <f>P12+P13+P14+P15+P17+P18+P19+P20+P22+P23</f>
        <v>3476.1000000000004</v>
      </c>
      <c r="Q27" s="956">
        <f>Q12+Q13+Q14+Q15+Q17+Q18+Q19+Q20+Q22+Q23</f>
        <v>883</v>
      </c>
      <c r="R27" s="953"/>
      <c r="S27" s="958"/>
      <c r="T27" s="959">
        <f t="shared" ref="T27:V27" si="6">T12+T13+T14+T15+T17+T18+T19+T20+T22+T23</f>
        <v>0.76649999999999996</v>
      </c>
      <c r="U27" s="959">
        <f t="shared" si="6"/>
        <v>1.5664</v>
      </c>
      <c r="V27" s="959">
        <f t="shared" si="6"/>
        <v>2.1752000000000002</v>
      </c>
      <c r="W27" s="953"/>
      <c r="X27" s="959">
        <f>X12+X13+X14+X15+X17+X18+X19+X20+X22+X23</f>
        <v>4.5080999999999998</v>
      </c>
      <c r="Y27" s="953"/>
      <c r="Z27" s="953"/>
      <c r="AA27" s="959">
        <f>AA12+AA13+AA14+AA15+AA17+AA18+AA19+AA20+AA22+AA23</f>
        <v>0.41699999999999998</v>
      </c>
      <c r="AB27" s="952">
        <f>AB15</f>
        <v>7</v>
      </c>
      <c r="AC27" s="953">
        <f>AC12+AC14+AC15+AC18+AC20+AC23</f>
        <v>14</v>
      </c>
      <c r="AD27" s="960"/>
    </row>
    <row r="28" spans="1:30">
      <c r="A28" s="949"/>
      <c r="B28" s="1479" t="s">
        <v>872</v>
      </c>
      <c r="C28" s="1479"/>
      <c r="D28" s="950"/>
      <c r="E28" s="951"/>
      <c r="F28" s="952">
        <f>F21</f>
        <v>275</v>
      </c>
      <c r="G28" s="953"/>
      <c r="H28" s="954"/>
      <c r="I28" s="955"/>
      <c r="J28" s="955"/>
      <c r="K28" s="956">
        <f>K21</f>
        <v>330</v>
      </c>
      <c r="L28" s="957"/>
      <c r="M28" s="956">
        <f>M21</f>
        <v>330</v>
      </c>
      <c r="N28" s="957"/>
      <c r="O28" s="957"/>
      <c r="P28" s="956">
        <f>P21</f>
        <v>198</v>
      </c>
      <c r="Q28" s="956"/>
      <c r="R28" s="953"/>
      <c r="S28" s="958"/>
      <c r="T28" s="959">
        <f t="shared" ref="T28:U28" si="7">T21</f>
        <v>0.22</v>
      </c>
      <c r="U28" s="959">
        <f t="shared" si="7"/>
        <v>0.11</v>
      </c>
      <c r="V28" s="959"/>
      <c r="W28" s="953"/>
      <c r="X28" s="959">
        <f>X21</f>
        <v>0.33</v>
      </c>
      <c r="Y28" s="953"/>
      <c r="Z28" s="953"/>
      <c r="AA28" s="959"/>
      <c r="AB28" s="952"/>
      <c r="AC28" s="953"/>
      <c r="AD28" s="960"/>
    </row>
    <row r="29" spans="1:30">
      <c r="A29" s="979"/>
      <c r="B29" s="1454" t="s">
        <v>867</v>
      </c>
      <c r="C29" s="1454"/>
      <c r="D29" s="980"/>
      <c r="E29" s="981"/>
      <c r="F29" s="964">
        <f>F16</f>
        <v>381</v>
      </c>
      <c r="G29" s="982"/>
      <c r="H29" s="983"/>
      <c r="I29" s="984"/>
      <c r="J29" s="984"/>
      <c r="K29" s="985"/>
      <c r="L29" s="966"/>
      <c r="M29" s="985"/>
      <c r="N29" s="966"/>
      <c r="O29" s="966"/>
      <c r="P29" s="985"/>
      <c r="Q29" s="985"/>
      <c r="R29" s="982"/>
      <c r="S29" s="967"/>
      <c r="T29" s="986"/>
      <c r="U29" s="986"/>
      <c r="V29" s="986"/>
      <c r="W29" s="982"/>
      <c r="X29" s="986"/>
      <c r="Y29" s="982"/>
      <c r="Z29" s="982"/>
      <c r="AA29" s="986">
        <f>AA16</f>
        <v>0.38100000000000001</v>
      </c>
      <c r="AB29" s="964"/>
      <c r="AC29" s="982"/>
      <c r="AD29" s="982"/>
    </row>
    <row r="30" spans="1:30" ht="15.75" thickBot="1">
      <c r="A30" s="749"/>
      <c r="B30" s="868"/>
      <c r="C30" s="868"/>
      <c r="D30" s="310"/>
      <c r="E30" s="856"/>
      <c r="F30" s="311"/>
      <c r="G30" s="305"/>
      <c r="H30" s="306"/>
      <c r="I30" s="312"/>
      <c r="J30" s="312"/>
      <c r="K30" s="309"/>
      <c r="L30" s="305"/>
      <c r="M30" s="307"/>
      <c r="N30" s="305"/>
      <c r="O30" s="305"/>
      <c r="P30" s="307"/>
      <c r="Q30" s="305"/>
      <c r="R30" s="305"/>
      <c r="S30" s="308"/>
      <c r="T30" s="313"/>
      <c r="U30" s="313"/>
      <c r="V30" s="313"/>
      <c r="W30" s="305"/>
      <c r="X30" s="469"/>
      <c r="Y30" s="305"/>
      <c r="Z30" s="305"/>
      <c r="AA30" s="305"/>
      <c r="AB30" s="311"/>
      <c r="AC30" s="305"/>
      <c r="AD30" s="305"/>
    </row>
    <row r="31" spans="1:30" ht="15.75" thickBot="1">
      <c r="A31" s="1142" t="s">
        <v>800</v>
      </c>
      <c r="B31" s="1143"/>
      <c r="C31" s="753" t="s">
        <v>799</v>
      </c>
      <c r="D31" s="289"/>
      <c r="E31" s="298"/>
      <c r="F31" s="290"/>
      <c r="G31" s="291"/>
      <c r="H31" s="292"/>
      <c r="I31" s="293"/>
      <c r="J31" s="293"/>
      <c r="K31" s="294"/>
      <c r="L31" s="291"/>
      <c r="M31" s="295"/>
      <c r="N31" s="291"/>
      <c r="O31" s="291"/>
      <c r="P31" s="295"/>
      <c r="Q31" s="291"/>
      <c r="R31" s="291"/>
      <c r="S31" s="296"/>
      <c r="T31" s="297"/>
      <c r="U31" s="297"/>
      <c r="V31" s="297"/>
      <c r="W31" s="291"/>
      <c r="X31" s="472"/>
      <c r="Y31" s="291"/>
      <c r="Z31" s="291"/>
      <c r="AA31" s="291"/>
      <c r="AB31" s="290"/>
      <c r="AC31" s="291"/>
      <c r="AD31" s="291"/>
    </row>
    <row r="32" spans="1:30" ht="15.75" thickBot="1">
      <c r="A32" s="1461">
        <v>6112740020050</v>
      </c>
      <c r="B32" s="1462"/>
      <c r="C32" s="754" t="s">
        <v>806</v>
      </c>
      <c r="D32" s="289"/>
      <c r="E32" s="298"/>
      <c r="F32" s="290"/>
      <c r="G32" s="291"/>
      <c r="H32" s="292"/>
      <c r="I32" s="293"/>
      <c r="J32" s="293"/>
      <c r="K32" s="294"/>
      <c r="L32" s="291"/>
      <c r="M32" s="295"/>
      <c r="N32" s="291"/>
      <c r="O32" s="291"/>
      <c r="P32" s="295"/>
      <c r="Q32" s="291"/>
      <c r="R32" s="291"/>
      <c r="S32" s="296"/>
      <c r="T32" s="297"/>
      <c r="U32" s="297"/>
      <c r="V32" s="297"/>
      <c r="W32" s="291"/>
      <c r="X32" s="472"/>
      <c r="Y32" s="291"/>
      <c r="Z32" s="291"/>
      <c r="AA32" s="291"/>
      <c r="AB32" s="290"/>
      <c r="AC32" s="291"/>
      <c r="AD32" s="291"/>
    </row>
    <row r="33" spans="1:30">
      <c r="A33" s="748"/>
      <c r="B33" s="864"/>
      <c r="C33" s="864"/>
      <c r="D33" s="289"/>
      <c r="E33" s="298"/>
      <c r="F33" s="290"/>
      <c r="G33" s="291"/>
      <c r="H33" s="292"/>
      <c r="I33" s="293"/>
      <c r="J33" s="293"/>
      <c r="K33" s="294"/>
      <c r="L33" s="291"/>
      <c r="M33" s="295"/>
      <c r="N33" s="291"/>
      <c r="O33" s="291"/>
      <c r="P33" s="295"/>
      <c r="Q33" s="291"/>
      <c r="R33" s="291"/>
      <c r="S33" s="296"/>
      <c r="T33" s="297"/>
      <c r="U33" s="297"/>
      <c r="V33" s="297"/>
      <c r="W33" s="291"/>
      <c r="X33" s="472"/>
      <c r="Y33" s="291"/>
      <c r="Z33" s="291"/>
      <c r="AA33" s="291"/>
      <c r="AB33" s="290"/>
      <c r="AC33" s="291"/>
      <c r="AD33" s="291"/>
    </row>
    <row r="34" spans="1:30" s="482" customFormat="1" ht="30" customHeight="1">
      <c r="A34" s="890">
        <v>1</v>
      </c>
      <c r="B34" s="847">
        <v>200</v>
      </c>
      <c r="C34" s="847" t="s">
        <v>799</v>
      </c>
      <c r="D34" s="601" t="s">
        <v>437</v>
      </c>
      <c r="E34" s="290" t="s">
        <v>250</v>
      </c>
      <c r="F34" s="290">
        <v>440</v>
      </c>
      <c r="G34" s="898">
        <v>0.6</v>
      </c>
      <c r="H34" s="899">
        <v>1.75</v>
      </c>
      <c r="I34" s="900">
        <v>1</v>
      </c>
      <c r="J34" s="320">
        <v>1.6</v>
      </c>
      <c r="K34" s="755">
        <f>F34*J34</f>
        <v>704</v>
      </c>
      <c r="L34" s="756"/>
      <c r="M34" s="757">
        <f>K34</f>
        <v>704</v>
      </c>
      <c r="N34" s="756"/>
      <c r="O34" s="756"/>
      <c r="P34" s="757">
        <f>M34*0.6</f>
        <v>422.4</v>
      </c>
      <c r="Q34" s="756"/>
      <c r="R34" s="756"/>
      <c r="S34" s="758"/>
      <c r="T34" s="297">
        <f>9*F34/10000</f>
        <v>0.39600000000000002</v>
      </c>
      <c r="U34" s="297"/>
      <c r="V34" s="297">
        <f>3*F34/10000</f>
        <v>0.13200000000000001</v>
      </c>
      <c r="W34" s="756"/>
      <c r="X34" s="759">
        <f>T34+V34</f>
        <v>0.52800000000000002</v>
      </c>
      <c r="Y34" s="756"/>
      <c r="Z34" s="756"/>
      <c r="AA34" s="756"/>
      <c r="AB34" s="290"/>
      <c r="AC34" s="756">
        <v>1</v>
      </c>
      <c r="AD34" s="756"/>
    </row>
    <row r="35" spans="1:30" ht="15.75" thickBot="1">
      <c r="A35" s="761"/>
      <c r="B35" s="871"/>
      <c r="C35" s="871"/>
      <c r="D35" s="743"/>
      <c r="E35" s="857"/>
      <c r="F35" s="744"/>
      <c r="G35" s="323"/>
      <c r="H35" s="324"/>
      <c r="I35" s="745"/>
      <c r="J35" s="745"/>
      <c r="K35" s="746"/>
      <c r="L35" s="323"/>
      <c r="M35" s="325"/>
      <c r="N35" s="323"/>
      <c r="O35" s="323"/>
      <c r="P35" s="325"/>
      <c r="Q35" s="323"/>
      <c r="R35" s="323"/>
      <c r="S35" s="326"/>
      <c r="T35" s="747"/>
      <c r="U35" s="747"/>
      <c r="V35" s="747"/>
      <c r="W35" s="323"/>
      <c r="X35" s="474"/>
      <c r="Y35" s="323"/>
      <c r="Z35" s="323"/>
      <c r="AA35" s="323"/>
      <c r="AB35" s="744"/>
      <c r="AC35" s="323"/>
      <c r="AD35" s="323"/>
    </row>
    <row r="36" spans="1:30" ht="15.75" thickBot="1">
      <c r="A36" s="495"/>
      <c r="B36" s="1511" t="s">
        <v>2</v>
      </c>
      <c r="C36" s="1512"/>
      <c r="D36" s="222"/>
      <c r="E36" s="855"/>
      <c r="F36" s="221">
        <f>F34</f>
        <v>440</v>
      </c>
      <c r="G36" s="268"/>
      <c r="H36" s="269"/>
      <c r="I36" s="270"/>
      <c r="J36" s="270"/>
      <c r="K36" s="271">
        <f>K34</f>
        <v>704</v>
      </c>
      <c r="L36" s="268"/>
      <c r="M36" s="272">
        <f>M34</f>
        <v>704</v>
      </c>
      <c r="N36" s="268"/>
      <c r="O36" s="268"/>
      <c r="P36" s="272">
        <f>P34</f>
        <v>422.4</v>
      </c>
      <c r="Q36" s="268"/>
      <c r="R36" s="268"/>
      <c r="S36" s="273"/>
      <c r="T36" s="274">
        <f>T34</f>
        <v>0.39600000000000002</v>
      </c>
      <c r="U36" s="274"/>
      <c r="V36" s="274">
        <f>V34</f>
        <v>0.13200000000000001</v>
      </c>
      <c r="W36" s="268"/>
      <c r="X36" s="468">
        <f>X34</f>
        <v>0.52800000000000002</v>
      </c>
      <c r="Y36" s="268"/>
      <c r="Z36" s="268"/>
      <c r="AA36" s="268"/>
      <c r="AB36" s="221"/>
      <c r="AC36" s="268">
        <f>AC34</f>
        <v>1</v>
      </c>
      <c r="AD36" s="276"/>
    </row>
    <row r="37" spans="1:30" ht="15.75" thickBot="1">
      <c r="A37" s="762"/>
      <c r="B37" s="1511" t="s">
        <v>439</v>
      </c>
      <c r="C37" s="1512"/>
      <c r="D37" s="763"/>
      <c r="E37" s="858"/>
      <c r="F37" s="640">
        <f>F34</f>
        <v>440</v>
      </c>
      <c r="G37" s="764"/>
      <c r="H37" s="765"/>
      <c r="I37" s="641"/>
      <c r="J37" s="641"/>
      <c r="K37" s="766">
        <f>K34</f>
        <v>704</v>
      </c>
      <c r="L37" s="764"/>
      <c r="M37" s="767">
        <f>M34</f>
        <v>704</v>
      </c>
      <c r="N37" s="764"/>
      <c r="O37" s="764"/>
      <c r="P37" s="767">
        <f>P34</f>
        <v>422.4</v>
      </c>
      <c r="Q37" s="764"/>
      <c r="R37" s="764"/>
      <c r="S37" s="768"/>
      <c r="T37" s="769">
        <f>T34</f>
        <v>0.39600000000000002</v>
      </c>
      <c r="U37" s="769"/>
      <c r="V37" s="769">
        <f>V34</f>
        <v>0.13200000000000001</v>
      </c>
      <c r="W37" s="764"/>
      <c r="X37" s="642">
        <f>X34</f>
        <v>0.52800000000000002</v>
      </c>
      <c r="Y37" s="764"/>
      <c r="Z37" s="764"/>
      <c r="AA37" s="764"/>
      <c r="AB37" s="640"/>
      <c r="AC37" s="764">
        <f>AC34</f>
        <v>1</v>
      </c>
      <c r="AD37" s="770"/>
    </row>
    <row r="38" spans="1:30">
      <c r="A38" s="1082"/>
      <c r="B38" s="931"/>
      <c r="C38" s="1083"/>
      <c r="D38" s="1084"/>
      <c r="E38" s="856"/>
      <c r="F38" s="311"/>
      <c r="G38" s="305"/>
      <c r="H38" s="306"/>
      <c r="I38" s="312"/>
      <c r="J38" s="312"/>
      <c r="K38" s="309"/>
      <c r="L38" s="305"/>
      <c r="M38" s="307"/>
      <c r="N38" s="305"/>
      <c r="O38" s="305"/>
      <c r="P38" s="307"/>
      <c r="Q38" s="305"/>
      <c r="R38" s="305"/>
      <c r="S38" s="308"/>
      <c r="T38" s="313"/>
      <c r="U38" s="313"/>
      <c r="V38" s="313"/>
      <c r="W38" s="305"/>
      <c r="X38" s="469"/>
      <c r="Y38" s="305"/>
      <c r="Z38" s="305"/>
      <c r="AA38" s="305"/>
      <c r="AB38" s="311"/>
      <c r="AC38" s="305"/>
      <c r="AD38" s="760"/>
    </row>
    <row r="39" spans="1:30" s="348" customFormat="1" ht="15.75" thickBot="1">
      <c r="A39" s="654"/>
      <c r="B39" s="873"/>
      <c r="C39" s="862"/>
      <c r="D39" s="655"/>
      <c r="E39" s="387"/>
      <c r="F39" s="656"/>
      <c r="G39" s="656"/>
      <c r="H39" s="657"/>
      <c r="I39" s="657"/>
      <c r="J39" s="657"/>
      <c r="K39" s="658"/>
      <c r="L39" s="659"/>
      <c r="M39" s="659"/>
      <c r="N39" s="656"/>
      <c r="O39" s="656"/>
      <c r="P39" s="659"/>
      <c r="Q39" s="656"/>
      <c r="R39" s="656"/>
      <c r="S39" s="471"/>
      <c r="T39" s="471"/>
      <c r="U39" s="471"/>
      <c r="V39" s="471"/>
      <c r="W39" s="656"/>
      <c r="X39" s="471"/>
      <c r="Y39" s="656"/>
      <c r="Z39" s="656"/>
      <c r="AA39" s="656"/>
      <c r="AB39" s="656"/>
      <c r="AC39" s="656"/>
      <c r="AD39" s="660"/>
    </row>
    <row r="40" spans="1:30" s="348" customFormat="1">
      <c r="A40" s="1468" t="s">
        <v>549</v>
      </c>
      <c r="B40" s="1469"/>
      <c r="C40" s="661" t="s">
        <v>441</v>
      </c>
      <c r="D40" s="360"/>
      <c r="E40" s="607"/>
      <c r="F40" s="662"/>
      <c r="G40" s="662"/>
      <c r="H40" s="663"/>
      <c r="I40" s="663"/>
      <c r="J40" s="663"/>
      <c r="K40" s="664"/>
      <c r="L40" s="509"/>
      <c r="M40" s="509"/>
      <c r="N40" s="662"/>
      <c r="O40" s="662"/>
      <c r="P40" s="509"/>
      <c r="Q40" s="662"/>
      <c r="R40" s="662"/>
      <c r="S40" s="472"/>
      <c r="T40" s="472"/>
      <c r="U40" s="472"/>
      <c r="V40" s="472"/>
      <c r="W40" s="662"/>
      <c r="X40" s="472"/>
      <c r="Y40" s="662"/>
      <c r="Z40" s="662"/>
      <c r="AA40" s="662"/>
      <c r="AB40" s="662"/>
      <c r="AC40" s="662"/>
      <c r="AD40" s="665"/>
    </row>
    <row r="41" spans="1:30" s="348" customFormat="1" ht="15.75" thickBot="1">
      <c r="A41" s="1446">
        <v>6112900030240</v>
      </c>
      <c r="B41" s="1447"/>
      <c r="C41" s="666" t="s">
        <v>548</v>
      </c>
      <c r="D41" s="360"/>
      <c r="E41" s="607"/>
      <c r="F41" s="662"/>
      <c r="G41" s="662"/>
      <c r="H41" s="663"/>
      <c r="I41" s="663"/>
      <c r="J41" s="663"/>
      <c r="K41" s="664"/>
      <c r="L41" s="509"/>
      <c r="M41" s="509"/>
      <c r="N41" s="662"/>
      <c r="O41" s="662"/>
      <c r="P41" s="509"/>
      <c r="Q41" s="662"/>
      <c r="R41" s="662"/>
      <c r="S41" s="472"/>
      <c r="T41" s="472"/>
      <c r="U41" s="472"/>
      <c r="V41" s="472"/>
      <c r="W41" s="662"/>
      <c r="X41" s="472"/>
      <c r="Y41" s="662"/>
      <c r="Z41" s="662"/>
      <c r="AA41" s="662"/>
      <c r="AB41" s="662"/>
      <c r="AC41" s="662"/>
      <c r="AD41" s="665"/>
    </row>
    <row r="42" spans="1:30" s="348" customFormat="1">
      <c r="A42" s="667"/>
      <c r="B42" s="868"/>
      <c r="C42" s="866"/>
      <c r="D42" s="668"/>
      <c r="E42" s="386"/>
      <c r="F42" s="386"/>
      <c r="G42" s="386"/>
      <c r="H42" s="668"/>
      <c r="I42" s="668"/>
      <c r="J42" s="668"/>
      <c r="K42" s="669"/>
      <c r="L42" s="670"/>
      <c r="M42" s="670"/>
      <c r="N42" s="386"/>
      <c r="O42" s="386"/>
      <c r="P42" s="670"/>
      <c r="Q42" s="386"/>
      <c r="R42" s="386"/>
      <c r="S42" s="475"/>
      <c r="T42" s="475"/>
      <c r="U42" s="475"/>
      <c r="V42" s="475"/>
      <c r="W42" s="386"/>
      <c r="X42" s="475"/>
      <c r="Y42" s="386"/>
      <c r="Z42" s="386"/>
      <c r="AA42" s="386"/>
      <c r="AB42" s="386"/>
      <c r="AC42" s="386"/>
      <c r="AD42" s="671"/>
    </row>
    <row r="43" spans="1:30" s="912" customFormat="1" ht="32.25" customHeight="1">
      <c r="A43" s="907">
        <v>1</v>
      </c>
      <c r="B43" s="908">
        <v>600</v>
      </c>
      <c r="C43" s="909" t="s">
        <v>441</v>
      </c>
      <c r="D43" s="901" t="s">
        <v>889</v>
      </c>
      <c r="E43" s="910" t="s">
        <v>250</v>
      </c>
      <c r="F43" s="1081">
        <v>614</v>
      </c>
      <c r="G43" s="384">
        <v>0.6</v>
      </c>
      <c r="H43" s="902">
        <v>1.75</v>
      </c>
      <c r="I43" s="911">
        <v>1.3</v>
      </c>
      <c r="J43" s="911">
        <v>2</v>
      </c>
      <c r="K43" s="903">
        <f>1674*J43</f>
        <v>3348</v>
      </c>
      <c r="L43" s="891"/>
      <c r="M43" s="891">
        <f t="shared" ref="M43:M60" si="8">K43</f>
        <v>3348</v>
      </c>
      <c r="N43" s="384"/>
      <c r="O43" s="384"/>
      <c r="P43" s="891">
        <f t="shared" ref="P43:P60" si="9">M43*0.6</f>
        <v>2008.8</v>
      </c>
      <c r="Q43" s="384"/>
      <c r="R43" s="384"/>
      <c r="S43" s="904"/>
      <c r="T43" s="905">
        <f>4*1674/10000</f>
        <v>0.66959999999999997</v>
      </c>
      <c r="U43" s="904"/>
      <c r="V43" s="904">
        <f>(1974*8)/10000</f>
        <v>1.5791999999999999</v>
      </c>
      <c r="W43" s="384"/>
      <c r="X43" s="904">
        <f>SUM(T43:W43)</f>
        <v>2.2488000000000001</v>
      </c>
      <c r="Y43" s="384"/>
      <c r="Z43" s="384"/>
      <c r="AA43" s="904">
        <f>326/1000</f>
        <v>0.32600000000000001</v>
      </c>
      <c r="AB43" s="384">
        <v>20</v>
      </c>
      <c r="AC43" s="384">
        <v>2</v>
      </c>
      <c r="AD43" s="906"/>
    </row>
    <row r="44" spans="1:30" s="348" customFormat="1">
      <c r="A44" s="893">
        <v>2</v>
      </c>
      <c r="B44" s="883">
        <v>615</v>
      </c>
      <c r="C44" s="864" t="s">
        <v>441</v>
      </c>
      <c r="D44" s="360" t="s">
        <v>709</v>
      </c>
      <c r="E44" s="859" t="s">
        <v>251</v>
      </c>
      <c r="F44" s="613">
        <v>330</v>
      </c>
      <c r="G44" s="607">
        <v>0.6</v>
      </c>
      <c r="H44" s="614">
        <v>1.75</v>
      </c>
      <c r="I44" s="615">
        <v>1</v>
      </c>
      <c r="J44" s="616">
        <v>1.5</v>
      </c>
      <c r="K44" s="617">
        <f t="shared" ref="K44:K60" si="10">F44*J44</f>
        <v>495</v>
      </c>
      <c r="L44" s="618"/>
      <c r="M44" s="618">
        <f t="shared" si="8"/>
        <v>495</v>
      </c>
      <c r="N44" s="607"/>
      <c r="O44" s="607"/>
      <c r="P44" s="618">
        <f t="shared" si="9"/>
        <v>297</v>
      </c>
      <c r="Q44" s="607"/>
      <c r="R44" s="607"/>
      <c r="S44" s="390"/>
      <c r="T44" s="473"/>
      <c r="U44" s="390">
        <f>F44*3/10000</f>
        <v>9.9000000000000005E-2</v>
      </c>
      <c r="V44" s="390">
        <f>F44*3/10000</f>
        <v>9.9000000000000005E-2</v>
      </c>
      <c r="W44" s="607"/>
      <c r="X44" s="390">
        <f t="shared" ref="X44:X69" si="11">SUM(T44:W44)</f>
        <v>0.19800000000000001</v>
      </c>
      <c r="Y44" s="607"/>
      <c r="Z44" s="607"/>
      <c r="AA44" s="607"/>
      <c r="AB44" s="607"/>
      <c r="AC44" s="607"/>
      <c r="AD44" s="621"/>
    </row>
    <row r="45" spans="1:30" s="348" customFormat="1">
      <c r="A45" s="894">
        <v>3</v>
      </c>
      <c r="B45" s="883">
        <v>616</v>
      </c>
      <c r="C45" s="864" t="s">
        <v>441</v>
      </c>
      <c r="D45" s="360" t="s">
        <v>710</v>
      </c>
      <c r="E45" s="859" t="s">
        <v>253</v>
      </c>
      <c r="F45" s="613">
        <v>2096</v>
      </c>
      <c r="G45" s="607">
        <v>0.6</v>
      </c>
      <c r="H45" s="614">
        <v>1.75</v>
      </c>
      <c r="I45" s="615">
        <v>1</v>
      </c>
      <c r="J45" s="616">
        <v>1.8</v>
      </c>
      <c r="K45" s="617">
        <f t="shared" si="10"/>
        <v>3772.8</v>
      </c>
      <c r="L45" s="618"/>
      <c r="M45" s="618">
        <f t="shared" si="8"/>
        <v>3772.8</v>
      </c>
      <c r="N45" s="607"/>
      <c r="O45" s="607"/>
      <c r="P45" s="618">
        <f t="shared" si="9"/>
        <v>2263.6799999999998</v>
      </c>
      <c r="Q45" s="607"/>
      <c r="R45" s="607"/>
      <c r="S45" s="390"/>
      <c r="T45" s="473">
        <f>4*F45/10000</f>
        <v>0.83840000000000003</v>
      </c>
      <c r="U45" s="390"/>
      <c r="V45" s="390">
        <v>1.6768000000000001</v>
      </c>
      <c r="W45" s="607"/>
      <c r="X45" s="390">
        <f t="shared" si="11"/>
        <v>2.5152000000000001</v>
      </c>
      <c r="Y45" s="607"/>
      <c r="Z45" s="607"/>
      <c r="AA45" s="607"/>
      <c r="AB45" s="607">
        <v>20</v>
      </c>
      <c r="AC45" s="607">
        <v>5</v>
      </c>
      <c r="AD45" s="621"/>
    </row>
    <row r="46" spans="1:30" s="348" customFormat="1">
      <c r="A46" s="893">
        <v>4</v>
      </c>
      <c r="B46" s="883">
        <v>617</v>
      </c>
      <c r="C46" s="864" t="s">
        <v>441</v>
      </c>
      <c r="D46" s="360" t="s">
        <v>710</v>
      </c>
      <c r="E46" s="859" t="s">
        <v>253</v>
      </c>
      <c r="F46" s="613">
        <v>287</v>
      </c>
      <c r="G46" s="607">
        <v>0.6</v>
      </c>
      <c r="H46" s="614">
        <v>1.75</v>
      </c>
      <c r="I46" s="615">
        <v>1</v>
      </c>
      <c r="J46" s="616">
        <v>1.6</v>
      </c>
      <c r="K46" s="617">
        <f t="shared" si="10"/>
        <v>459.20000000000005</v>
      </c>
      <c r="L46" s="618"/>
      <c r="M46" s="618">
        <f t="shared" si="8"/>
        <v>459.20000000000005</v>
      </c>
      <c r="N46" s="607"/>
      <c r="O46" s="607"/>
      <c r="P46" s="618">
        <f t="shared" si="9"/>
        <v>275.52000000000004</v>
      </c>
      <c r="Q46" s="607"/>
      <c r="R46" s="607"/>
      <c r="S46" s="390"/>
      <c r="T46" s="473"/>
      <c r="U46" s="390"/>
      <c r="V46" s="390">
        <v>0.34439999999999998</v>
      </c>
      <c r="W46" s="607"/>
      <c r="X46" s="390">
        <f t="shared" si="11"/>
        <v>0.34439999999999998</v>
      </c>
      <c r="Y46" s="607"/>
      <c r="Z46" s="607"/>
      <c r="AA46" s="607"/>
      <c r="AB46" s="607"/>
      <c r="AC46" s="607"/>
      <c r="AD46" s="621"/>
    </row>
    <row r="47" spans="1:30" s="348" customFormat="1">
      <c r="A47" s="907">
        <v>5</v>
      </c>
      <c r="B47" s="883">
        <v>618</v>
      </c>
      <c r="C47" s="864" t="s">
        <v>441</v>
      </c>
      <c r="D47" s="360" t="s">
        <v>710</v>
      </c>
      <c r="E47" s="859" t="s">
        <v>253</v>
      </c>
      <c r="F47" s="613">
        <v>178</v>
      </c>
      <c r="G47" s="607">
        <v>0.6</v>
      </c>
      <c r="H47" s="614">
        <v>1.75</v>
      </c>
      <c r="I47" s="615">
        <v>1</v>
      </c>
      <c r="J47" s="616">
        <v>1.7000000000000002</v>
      </c>
      <c r="K47" s="617">
        <f t="shared" si="10"/>
        <v>302.60000000000002</v>
      </c>
      <c r="L47" s="618"/>
      <c r="M47" s="618">
        <f t="shared" si="8"/>
        <v>302.60000000000002</v>
      </c>
      <c r="N47" s="607"/>
      <c r="O47" s="607"/>
      <c r="P47" s="618">
        <f t="shared" si="9"/>
        <v>181.56</v>
      </c>
      <c r="Q47" s="607"/>
      <c r="R47" s="607"/>
      <c r="S47" s="390"/>
      <c r="T47" s="473"/>
      <c r="U47" s="390">
        <v>0.21360000000000001</v>
      </c>
      <c r="V47" s="390"/>
      <c r="W47" s="607"/>
      <c r="X47" s="390">
        <f t="shared" si="11"/>
        <v>0.21360000000000001</v>
      </c>
      <c r="Y47" s="607"/>
      <c r="Z47" s="607"/>
      <c r="AA47" s="607"/>
      <c r="AB47" s="607"/>
      <c r="AC47" s="607">
        <v>1</v>
      </c>
      <c r="AD47" s="621"/>
    </row>
    <row r="48" spans="1:30" s="348" customFormat="1">
      <c r="A48" s="893">
        <v>6</v>
      </c>
      <c r="B48" s="883">
        <v>619</v>
      </c>
      <c r="C48" s="864" t="s">
        <v>441</v>
      </c>
      <c r="D48" s="360" t="s">
        <v>711</v>
      </c>
      <c r="E48" s="859" t="s">
        <v>253</v>
      </c>
      <c r="F48" s="613">
        <v>551</v>
      </c>
      <c r="G48" s="607">
        <v>0.6</v>
      </c>
      <c r="H48" s="614">
        <v>1.75</v>
      </c>
      <c r="I48" s="615">
        <v>1</v>
      </c>
      <c r="J48" s="616">
        <v>1.5</v>
      </c>
      <c r="K48" s="617">
        <f t="shared" si="10"/>
        <v>826.5</v>
      </c>
      <c r="L48" s="618"/>
      <c r="M48" s="618">
        <f t="shared" si="8"/>
        <v>826.5</v>
      </c>
      <c r="N48" s="607"/>
      <c r="O48" s="607"/>
      <c r="P48" s="618">
        <f t="shared" si="9"/>
        <v>495.9</v>
      </c>
      <c r="Q48" s="607"/>
      <c r="R48" s="607"/>
      <c r="S48" s="390"/>
      <c r="T48" s="473">
        <f>4*F48/10000</f>
        <v>0.22040000000000001</v>
      </c>
      <c r="U48" s="390"/>
      <c r="V48" s="390">
        <v>0.44080000000000003</v>
      </c>
      <c r="W48" s="607"/>
      <c r="X48" s="390">
        <f t="shared" si="11"/>
        <v>0.66120000000000001</v>
      </c>
      <c r="Y48" s="607"/>
      <c r="Z48" s="607"/>
      <c r="AA48" s="607"/>
      <c r="AB48" s="607">
        <v>5</v>
      </c>
      <c r="AC48" s="607">
        <v>1</v>
      </c>
      <c r="AD48" s="621"/>
    </row>
    <row r="49" spans="1:31" s="348" customFormat="1">
      <c r="A49" s="894">
        <v>7</v>
      </c>
      <c r="B49" s="883">
        <v>620</v>
      </c>
      <c r="C49" s="864" t="s">
        <v>441</v>
      </c>
      <c r="D49" s="360" t="s">
        <v>711</v>
      </c>
      <c r="E49" s="859" t="s">
        <v>253</v>
      </c>
      <c r="F49" s="613">
        <v>299</v>
      </c>
      <c r="G49" s="607">
        <v>0.6</v>
      </c>
      <c r="H49" s="614">
        <v>1.75</v>
      </c>
      <c r="I49" s="615">
        <v>1</v>
      </c>
      <c r="J49" s="616">
        <v>1.8</v>
      </c>
      <c r="K49" s="617">
        <f t="shared" si="10"/>
        <v>538.20000000000005</v>
      </c>
      <c r="L49" s="618"/>
      <c r="M49" s="618">
        <f t="shared" si="8"/>
        <v>538.20000000000005</v>
      </c>
      <c r="N49" s="607"/>
      <c r="O49" s="607"/>
      <c r="P49" s="618">
        <f t="shared" si="9"/>
        <v>322.92</v>
      </c>
      <c r="Q49" s="607"/>
      <c r="R49" s="607"/>
      <c r="S49" s="390"/>
      <c r="T49" s="473">
        <f>3*F49/10000</f>
        <v>8.9700000000000002E-2</v>
      </c>
      <c r="U49" s="390"/>
      <c r="V49" s="390">
        <v>0.26910000000000001</v>
      </c>
      <c r="W49" s="607"/>
      <c r="X49" s="390">
        <f t="shared" si="11"/>
        <v>0.35880000000000001</v>
      </c>
      <c r="Y49" s="607"/>
      <c r="Z49" s="607"/>
      <c r="AA49" s="607"/>
      <c r="AB49" s="607"/>
      <c r="AC49" s="607"/>
      <c r="AD49" s="621"/>
    </row>
    <row r="50" spans="1:31" s="348" customFormat="1" ht="25.5">
      <c r="A50" s="893">
        <v>8</v>
      </c>
      <c r="B50" s="883">
        <v>621</v>
      </c>
      <c r="C50" s="864" t="s">
        <v>441</v>
      </c>
      <c r="D50" s="672" t="s">
        <v>713</v>
      </c>
      <c r="E50" s="859" t="s">
        <v>253</v>
      </c>
      <c r="F50" s="613">
        <v>317</v>
      </c>
      <c r="G50" s="607">
        <v>0.6</v>
      </c>
      <c r="H50" s="614">
        <v>1.75</v>
      </c>
      <c r="I50" s="615">
        <v>1</v>
      </c>
      <c r="J50" s="616">
        <v>1.5</v>
      </c>
      <c r="K50" s="617">
        <f t="shared" si="10"/>
        <v>475.5</v>
      </c>
      <c r="L50" s="618"/>
      <c r="M50" s="618">
        <f t="shared" si="8"/>
        <v>475.5</v>
      </c>
      <c r="N50" s="607"/>
      <c r="O50" s="607"/>
      <c r="P50" s="618">
        <f t="shared" si="9"/>
        <v>285.3</v>
      </c>
      <c r="Q50" s="607"/>
      <c r="R50" s="607"/>
      <c r="S50" s="390"/>
      <c r="T50" s="473">
        <f t="shared" ref="T50:T56" si="12">4*F50/10000</f>
        <v>0.1268</v>
      </c>
      <c r="U50" s="390"/>
      <c r="V50" s="390">
        <v>0.25359999999999999</v>
      </c>
      <c r="W50" s="607"/>
      <c r="X50" s="390">
        <f t="shared" si="11"/>
        <v>0.38039999999999996</v>
      </c>
      <c r="Y50" s="607"/>
      <c r="Z50" s="607"/>
      <c r="AA50" s="607"/>
      <c r="AB50" s="607"/>
      <c r="AC50" s="607">
        <v>1</v>
      </c>
      <c r="AD50" s="621"/>
    </row>
    <row r="51" spans="1:31" s="348" customFormat="1">
      <c r="A51" s="907">
        <v>9</v>
      </c>
      <c r="B51" s="883">
        <v>622</v>
      </c>
      <c r="C51" s="864" t="s">
        <v>441</v>
      </c>
      <c r="D51" s="360" t="s">
        <v>709</v>
      </c>
      <c r="E51" s="859" t="s">
        <v>253</v>
      </c>
      <c r="F51" s="613">
        <v>324</v>
      </c>
      <c r="G51" s="607">
        <v>0.6</v>
      </c>
      <c r="H51" s="614">
        <v>1.75</v>
      </c>
      <c r="I51" s="615">
        <v>1</v>
      </c>
      <c r="J51" s="616">
        <v>1.7000000000000002</v>
      </c>
      <c r="K51" s="617">
        <f t="shared" si="10"/>
        <v>550.80000000000007</v>
      </c>
      <c r="L51" s="618"/>
      <c r="M51" s="618">
        <f t="shared" si="8"/>
        <v>550.80000000000007</v>
      </c>
      <c r="N51" s="607"/>
      <c r="O51" s="607"/>
      <c r="P51" s="618">
        <f t="shared" si="9"/>
        <v>330.48</v>
      </c>
      <c r="Q51" s="607"/>
      <c r="R51" s="607"/>
      <c r="S51" s="390"/>
      <c r="T51" s="473">
        <f t="shared" si="12"/>
        <v>0.12959999999999999</v>
      </c>
      <c r="U51" s="390"/>
      <c r="V51" s="390">
        <v>0.25919999999999999</v>
      </c>
      <c r="W51" s="607"/>
      <c r="X51" s="390">
        <f t="shared" si="11"/>
        <v>0.38879999999999998</v>
      </c>
      <c r="Y51" s="607"/>
      <c r="Z51" s="607"/>
      <c r="AA51" s="607"/>
      <c r="AB51" s="607"/>
      <c r="AC51" s="607"/>
      <c r="AD51" s="621"/>
    </row>
    <row r="52" spans="1:31" s="348" customFormat="1">
      <c r="A52" s="893">
        <v>10</v>
      </c>
      <c r="B52" s="884">
        <v>623</v>
      </c>
      <c r="C52" s="864" t="s">
        <v>441</v>
      </c>
      <c r="D52" s="360" t="s">
        <v>709</v>
      </c>
      <c r="E52" s="860" t="s">
        <v>253</v>
      </c>
      <c r="F52" s="631">
        <v>338</v>
      </c>
      <c r="G52" s="607">
        <v>0.6</v>
      </c>
      <c r="H52" s="614">
        <v>1.75</v>
      </c>
      <c r="I52" s="615">
        <v>1</v>
      </c>
      <c r="J52" s="633">
        <v>1.6</v>
      </c>
      <c r="K52" s="617">
        <f t="shared" si="10"/>
        <v>540.80000000000007</v>
      </c>
      <c r="L52" s="618"/>
      <c r="M52" s="618">
        <f t="shared" si="8"/>
        <v>540.80000000000007</v>
      </c>
      <c r="N52" s="607"/>
      <c r="O52" s="607"/>
      <c r="P52" s="618">
        <f t="shared" si="9"/>
        <v>324.48</v>
      </c>
      <c r="Q52" s="607"/>
      <c r="R52" s="607"/>
      <c r="S52" s="390"/>
      <c r="T52" s="632">
        <f t="shared" si="12"/>
        <v>0.13519999999999999</v>
      </c>
      <c r="U52" s="390"/>
      <c r="V52" s="390">
        <v>0.27039999999999997</v>
      </c>
      <c r="W52" s="607"/>
      <c r="X52" s="390">
        <f t="shared" si="11"/>
        <v>0.40559999999999996</v>
      </c>
      <c r="Y52" s="607"/>
      <c r="Z52" s="607"/>
      <c r="AA52" s="607"/>
      <c r="AB52" s="607"/>
      <c r="AC52" s="607">
        <v>1</v>
      </c>
      <c r="AD52" s="621"/>
    </row>
    <row r="53" spans="1:31" s="348" customFormat="1">
      <c r="A53" s="894">
        <v>11</v>
      </c>
      <c r="B53" s="883">
        <v>624</v>
      </c>
      <c r="C53" s="864" t="s">
        <v>441</v>
      </c>
      <c r="D53" s="360" t="s">
        <v>705</v>
      </c>
      <c r="E53" s="861" t="s">
        <v>253</v>
      </c>
      <c r="F53" s="613">
        <v>126</v>
      </c>
      <c r="G53" s="607">
        <v>0.6</v>
      </c>
      <c r="H53" s="614">
        <v>1.75</v>
      </c>
      <c r="I53" s="615">
        <v>1</v>
      </c>
      <c r="J53" s="616">
        <v>1.8</v>
      </c>
      <c r="K53" s="617">
        <f t="shared" si="10"/>
        <v>226.8</v>
      </c>
      <c r="L53" s="618"/>
      <c r="M53" s="618">
        <f t="shared" si="8"/>
        <v>226.8</v>
      </c>
      <c r="N53" s="607"/>
      <c r="O53" s="607"/>
      <c r="P53" s="618">
        <f t="shared" si="9"/>
        <v>136.08000000000001</v>
      </c>
      <c r="Q53" s="607"/>
      <c r="R53" s="607"/>
      <c r="S53" s="390"/>
      <c r="T53" s="473">
        <f t="shared" si="12"/>
        <v>5.04E-2</v>
      </c>
      <c r="U53" s="390">
        <v>0.1008</v>
      </c>
      <c r="V53" s="390"/>
      <c r="W53" s="607"/>
      <c r="X53" s="390">
        <f t="shared" si="11"/>
        <v>0.1512</v>
      </c>
      <c r="Y53" s="607"/>
      <c r="Z53" s="607"/>
      <c r="AA53" s="607"/>
      <c r="AB53" s="607"/>
      <c r="AC53" s="607"/>
      <c r="AD53" s="621"/>
    </row>
    <row r="54" spans="1:31" s="348" customFormat="1">
      <c r="A54" s="893">
        <v>12</v>
      </c>
      <c r="B54" s="883">
        <v>625</v>
      </c>
      <c r="C54" s="864" t="s">
        <v>441</v>
      </c>
      <c r="D54" s="360" t="s">
        <v>705</v>
      </c>
      <c r="E54" s="861" t="s">
        <v>253</v>
      </c>
      <c r="F54" s="613">
        <v>162</v>
      </c>
      <c r="G54" s="607">
        <v>0.6</v>
      </c>
      <c r="H54" s="614">
        <v>1.75</v>
      </c>
      <c r="I54" s="615">
        <v>1</v>
      </c>
      <c r="J54" s="616">
        <v>1.8</v>
      </c>
      <c r="K54" s="617">
        <f t="shared" si="10"/>
        <v>291.60000000000002</v>
      </c>
      <c r="L54" s="618"/>
      <c r="M54" s="618">
        <f t="shared" si="8"/>
        <v>291.60000000000002</v>
      </c>
      <c r="N54" s="607"/>
      <c r="O54" s="607"/>
      <c r="P54" s="618">
        <f t="shared" si="9"/>
        <v>174.96</v>
      </c>
      <c r="Q54" s="607"/>
      <c r="R54" s="607"/>
      <c r="S54" s="390"/>
      <c r="T54" s="473">
        <f t="shared" si="12"/>
        <v>6.4799999999999996E-2</v>
      </c>
      <c r="U54" s="390">
        <v>0.12959999999999999</v>
      </c>
      <c r="V54" s="390"/>
      <c r="W54" s="607"/>
      <c r="X54" s="390">
        <f t="shared" si="11"/>
        <v>0.19439999999999999</v>
      </c>
      <c r="Y54" s="607"/>
      <c r="Z54" s="607"/>
      <c r="AA54" s="607"/>
      <c r="AB54" s="607"/>
      <c r="AC54" s="607"/>
      <c r="AD54" s="621"/>
    </row>
    <row r="55" spans="1:31" s="348" customFormat="1">
      <c r="A55" s="907">
        <v>13</v>
      </c>
      <c r="B55" s="883">
        <v>626</v>
      </c>
      <c r="C55" s="864" t="s">
        <v>441</v>
      </c>
      <c r="D55" s="360" t="s">
        <v>714</v>
      </c>
      <c r="E55" s="861" t="s">
        <v>253</v>
      </c>
      <c r="F55" s="673">
        <v>509</v>
      </c>
      <c r="G55" s="607">
        <v>0.6</v>
      </c>
      <c r="H55" s="614">
        <v>1.75</v>
      </c>
      <c r="I55" s="615">
        <v>1</v>
      </c>
      <c r="J55" s="616">
        <v>1.8</v>
      </c>
      <c r="K55" s="617">
        <f t="shared" si="10"/>
        <v>916.2</v>
      </c>
      <c r="L55" s="618"/>
      <c r="M55" s="618">
        <f t="shared" si="8"/>
        <v>916.2</v>
      </c>
      <c r="N55" s="607"/>
      <c r="O55" s="607"/>
      <c r="P55" s="618">
        <f t="shared" si="9"/>
        <v>549.72</v>
      </c>
      <c r="Q55" s="607"/>
      <c r="R55" s="607"/>
      <c r="S55" s="390"/>
      <c r="T55" s="473">
        <f t="shared" si="12"/>
        <v>0.2036</v>
      </c>
      <c r="U55" s="390"/>
      <c r="V55" s="390">
        <v>0.35520000000000002</v>
      </c>
      <c r="W55" s="607"/>
      <c r="X55" s="390">
        <f t="shared" si="11"/>
        <v>0.55879999999999996</v>
      </c>
      <c r="Y55" s="607"/>
      <c r="Z55" s="607"/>
      <c r="AA55" s="607"/>
      <c r="AB55" s="607">
        <v>4</v>
      </c>
      <c r="AC55" s="607">
        <v>1</v>
      </c>
      <c r="AD55" s="621"/>
      <c r="AE55" s="674" t="s">
        <v>762</v>
      </c>
    </row>
    <row r="56" spans="1:31" s="348" customFormat="1" ht="25.5">
      <c r="A56" s="893">
        <v>14</v>
      </c>
      <c r="B56" s="883">
        <v>627</v>
      </c>
      <c r="C56" s="864" t="s">
        <v>441</v>
      </c>
      <c r="D56" s="672" t="s">
        <v>715</v>
      </c>
      <c r="E56" s="861" t="s">
        <v>253</v>
      </c>
      <c r="F56" s="613">
        <v>219</v>
      </c>
      <c r="G56" s="607">
        <v>0.6</v>
      </c>
      <c r="H56" s="614">
        <v>1.75</v>
      </c>
      <c r="I56" s="615">
        <v>1</v>
      </c>
      <c r="J56" s="616">
        <v>1.5</v>
      </c>
      <c r="K56" s="617">
        <f t="shared" si="10"/>
        <v>328.5</v>
      </c>
      <c r="L56" s="618"/>
      <c r="M56" s="618">
        <f t="shared" si="8"/>
        <v>328.5</v>
      </c>
      <c r="N56" s="607"/>
      <c r="O56" s="607"/>
      <c r="P56" s="618">
        <f t="shared" si="9"/>
        <v>197.1</v>
      </c>
      <c r="Q56" s="607"/>
      <c r="R56" s="607"/>
      <c r="S56" s="390"/>
      <c r="T56" s="473">
        <f t="shared" si="12"/>
        <v>8.7599999999999997E-2</v>
      </c>
      <c r="U56" s="390"/>
      <c r="V56" s="390">
        <v>0.17519999999999999</v>
      </c>
      <c r="W56" s="607"/>
      <c r="X56" s="390">
        <f t="shared" si="11"/>
        <v>0.26279999999999998</v>
      </c>
      <c r="Y56" s="607"/>
      <c r="Z56" s="607"/>
      <c r="AA56" s="607"/>
      <c r="AB56" s="607"/>
      <c r="AC56" s="607">
        <v>1</v>
      </c>
      <c r="AD56" s="621"/>
    </row>
    <row r="57" spans="1:31" s="348" customFormat="1" ht="25.5">
      <c r="A57" s="894">
        <v>15</v>
      </c>
      <c r="B57" s="883">
        <v>628</v>
      </c>
      <c r="C57" s="864" t="s">
        <v>441</v>
      </c>
      <c r="D57" s="672" t="s">
        <v>716</v>
      </c>
      <c r="E57" s="861" t="s">
        <v>253</v>
      </c>
      <c r="F57" s="613">
        <v>628</v>
      </c>
      <c r="G57" s="607">
        <v>0.6</v>
      </c>
      <c r="H57" s="614">
        <v>1.75</v>
      </c>
      <c r="I57" s="615">
        <v>1</v>
      </c>
      <c r="J57" s="616">
        <v>2</v>
      </c>
      <c r="K57" s="617">
        <f t="shared" si="10"/>
        <v>1256</v>
      </c>
      <c r="L57" s="618"/>
      <c r="M57" s="618">
        <f t="shared" si="8"/>
        <v>1256</v>
      </c>
      <c r="N57" s="607"/>
      <c r="O57" s="607"/>
      <c r="P57" s="618">
        <f t="shared" si="9"/>
        <v>753.6</v>
      </c>
      <c r="Q57" s="607"/>
      <c r="R57" s="607"/>
      <c r="S57" s="390"/>
      <c r="T57" s="473"/>
      <c r="U57" s="390"/>
      <c r="V57" s="390">
        <v>0.75360000000000005</v>
      </c>
      <c r="W57" s="607"/>
      <c r="X57" s="390">
        <f t="shared" si="11"/>
        <v>0.75360000000000005</v>
      </c>
      <c r="Y57" s="607"/>
      <c r="Z57" s="607"/>
      <c r="AA57" s="607"/>
      <c r="AB57" s="607">
        <v>6</v>
      </c>
      <c r="AC57" s="607">
        <v>1</v>
      </c>
      <c r="AD57" s="621"/>
    </row>
    <row r="58" spans="1:31" s="348" customFormat="1">
      <c r="A58" s="893">
        <v>16</v>
      </c>
      <c r="B58" s="883">
        <v>629</v>
      </c>
      <c r="C58" s="864" t="s">
        <v>441</v>
      </c>
      <c r="D58" s="360" t="s">
        <v>433</v>
      </c>
      <c r="E58" s="861" t="s">
        <v>253</v>
      </c>
      <c r="F58" s="613">
        <v>308</v>
      </c>
      <c r="G58" s="607">
        <v>0.6</v>
      </c>
      <c r="H58" s="614">
        <v>1.75</v>
      </c>
      <c r="I58" s="615">
        <v>1</v>
      </c>
      <c r="J58" s="616">
        <v>2</v>
      </c>
      <c r="K58" s="617">
        <f t="shared" si="10"/>
        <v>616</v>
      </c>
      <c r="L58" s="618"/>
      <c r="M58" s="618">
        <f t="shared" si="8"/>
        <v>616</v>
      </c>
      <c r="N58" s="607"/>
      <c r="O58" s="607"/>
      <c r="P58" s="618">
        <f t="shared" si="9"/>
        <v>369.59999999999997</v>
      </c>
      <c r="Q58" s="607"/>
      <c r="R58" s="607"/>
      <c r="S58" s="390"/>
      <c r="T58" s="473"/>
      <c r="U58" s="390"/>
      <c r="V58" s="390">
        <v>0.36959999999999998</v>
      </c>
      <c r="W58" s="607"/>
      <c r="X58" s="390">
        <f t="shared" si="11"/>
        <v>0.36959999999999998</v>
      </c>
      <c r="Y58" s="607"/>
      <c r="Z58" s="607"/>
      <c r="AA58" s="607"/>
      <c r="AB58" s="607"/>
      <c r="AC58" s="607"/>
      <c r="AD58" s="621"/>
    </row>
    <row r="59" spans="1:31" s="841" customFormat="1">
      <c r="A59" s="907">
        <v>17</v>
      </c>
      <c r="B59" s="885">
        <v>630</v>
      </c>
      <c r="C59" s="874" t="s">
        <v>441</v>
      </c>
      <c r="D59" s="833" t="s">
        <v>433</v>
      </c>
      <c r="E59" s="961" t="s">
        <v>871</v>
      </c>
      <c r="F59" s="834">
        <v>333</v>
      </c>
      <c r="G59" s="388">
        <v>0.6</v>
      </c>
      <c r="H59" s="388">
        <v>1.75</v>
      </c>
      <c r="I59" s="835">
        <v>1</v>
      </c>
      <c r="J59" s="836">
        <v>1.2</v>
      </c>
      <c r="K59" s="837">
        <f t="shared" si="10"/>
        <v>399.59999999999997</v>
      </c>
      <c r="L59" s="837"/>
      <c r="M59" s="837">
        <f t="shared" si="8"/>
        <v>399.59999999999997</v>
      </c>
      <c r="N59" s="388"/>
      <c r="O59" s="388"/>
      <c r="P59" s="837">
        <f t="shared" si="9"/>
        <v>239.75999999999996</v>
      </c>
      <c r="Q59" s="388"/>
      <c r="R59" s="388"/>
      <c r="S59" s="838"/>
      <c r="T59" s="839">
        <f>3*F59/10000</f>
        <v>9.9900000000000003E-2</v>
      </c>
      <c r="U59" s="838"/>
      <c r="V59" s="838">
        <v>0.14879999999999999</v>
      </c>
      <c r="W59" s="388"/>
      <c r="X59" s="838">
        <f t="shared" si="11"/>
        <v>0.24869999999999998</v>
      </c>
      <c r="Y59" s="388"/>
      <c r="Z59" s="388"/>
      <c r="AA59" s="388"/>
      <c r="AB59" s="388"/>
      <c r="AC59" s="388">
        <v>1</v>
      </c>
      <c r="AD59" s="840"/>
    </row>
    <row r="60" spans="1:31" s="348" customFormat="1">
      <c r="A60" s="893">
        <v>18</v>
      </c>
      <c r="B60" s="883">
        <v>631</v>
      </c>
      <c r="C60" s="864" t="s">
        <v>441</v>
      </c>
      <c r="D60" s="360" t="s">
        <v>436</v>
      </c>
      <c r="E60" s="961" t="s">
        <v>871</v>
      </c>
      <c r="F60" s="613">
        <v>432</v>
      </c>
      <c r="G60" s="607">
        <v>0.6</v>
      </c>
      <c r="H60" s="614">
        <v>1.75</v>
      </c>
      <c r="I60" s="615">
        <v>1</v>
      </c>
      <c r="J60" s="616">
        <v>1.2</v>
      </c>
      <c r="K60" s="617">
        <f t="shared" si="10"/>
        <v>518.4</v>
      </c>
      <c r="L60" s="618"/>
      <c r="M60" s="618">
        <f t="shared" si="8"/>
        <v>518.4</v>
      </c>
      <c r="N60" s="607"/>
      <c r="O60" s="607"/>
      <c r="P60" s="618">
        <f t="shared" si="9"/>
        <v>311.03999999999996</v>
      </c>
      <c r="Q60" s="607"/>
      <c r="R60" s="607"/>
      <c r="S60" s="390"/>
      <c r="T60" s="473"/>
      <c r="U60" s="390"/>
      <c r="V60" s="390">
        <v>0.51839999999999997</v>
      </c>
      <c r="W60" s="607"/>
      <c r="X60" s="390">
        <f t="shared" si="11"/>
        <v>0.51839999999999997</v>
      </c>
      <c r="Y60" s="607"/>
      <c r="Z60" s="607"/>
      <c r="AA60" s="607"/>
      <c r="AB60" s="607"/>
      <c r="AC60" s="607">
        <v>1</v>
      </c>
      <c r="AD60" s="621"/>
    </row>
    <row r="61" spans="1:31" s="348" customFormat="1">
      <c r="A61" s="893">
        <v>20</v>
      </c>
      <c r="B61" s="883">
        <v>633</v>
      </c>
      <c r="C61" s="864" t="s">
        <v>441</v>
      </c>
      <c r="D61" s="360" t="s">
        <v>436</v>
      </c>
      <c r="E61" s="861" t="s">
        <v>253</v>
      </c>
      <c r="F61" s="613">
        <v>588</v>
      </c>
      <c r="G61" s="607">
        <v>0.6</v>
      </c>
      <c r="H61" s="614">
        <v>1.75</v>
      </c>
      <c r="I61" s="615">
        <v>1</v>
      </c>
      <c r="J61" s="616">
        <v>1.5</v>
      </c>
      <c r="K61" s="617">
        <f t="shared" ref="K61:K69" si="13">F61*J61</f>
        <v>882</v>
      </c>
      <c r="L61" s="618"/>
      <c r="M61" s="618">
        <f t="shared" ref="M61:M69" si="14">K61</f>
        <v>882</v>
      </c>
      <c r="N61" s="607"/>
      <c r="O61" s="607"/>
      <c r="P61" s="618">
        <f t="shared" ref="P61:P69" si="15">M61*0.6</f>
        <v>529.19999999999993</v>
      </c>
      <c r="Q61" s="607"/>
      <c r="R61" s="607"/>
      <c r="S61" s="390"/>
      <c r="T61" s="473">
        <f>6*F61/10000</f>
        <v>0.3528</v>
      </c>
      <c r="U61" s="390"/>
      <c r="V61" s="390">
        <v>0.3528</v>
      </c>
      <c r="W61" s="607"/>
      <c r="X61" s="390">
        <f t="shared" si="11"/>
        <v>0.7056</v>
      </c>
      <c r="Y61" s="607"/>
      <c r="Z61" s="607"/>
      <c r="AA61" s="607"/>
      <c r="AB61" s="607">
        <v>6</v>
      </c>
      <c r="AC61" s="607">
        <v>1</v>
      </c>
      <c r="AD61" s="621"/>
    </row>
    <row r="62" spans="1:31" s="348" customFormat="1" ht="25.5">
      <c r="A62" s="907">
        <v>21</v>
      </c>
      <c r="B62" s="883">
        <v>634</v>
      </c>
      <c r="C62" s="864" t="s">
        <v>441</v>
      </c>
      <c r="D62" s="672" t="s">
        <v>717</v>
      </c>
      <c r="E62" s="861" t="s">
        <v>253</v>
      </c>
      <c r="F62" s="613">
        <v>327</v>
      </c>
      <c r="G62" s="607">
        <v>0.6</v>
      </c>
      <c r="H62" s="614">
        <v>1.75</v>
      </c>
      <c r="I62" s="615">
        <v>1</v>
      </c>
      <c r="J62" s="616">
        <v>1.6</v>
      </c>
      <c r="K62" s="617">
        <f t="shared" si="13"/>
        <v>523.20000000000005</v>
      </c>
      <c r="L62" s="618"/>
      <c r="M62" s="618">
        <f t="shared" si="14"/>
        <v>523.20000000000005</v>
      </c>
      <c r="N62" s="607"/>
      <c r="O62" s="607"/>
      <c r="P62" s="618">
        <f t="shared" si="15"/>
        <v>313.92</v>
      </c>
      <c r="Q62" s="607"/>
      <c r="R62" s="607"/>
      <c r="S62" s="390"/>
      <c r="T62" s="473">
        <f>4*F62/10000</f>
        <v>0.1308</v>
      </c>
      <c r="U62" s="390"/>
      <c r="V62" s="390">
        <v>0.2616</v>
      </c>
      <c r="W62" s="607"/>
      <c r="X62" s="390">
        <f t="shared" si="11"/>
        <v>0.39239999999999997</v>
      </c>
      <c r="Y62" s="607"/>
      <c r="Z62" s="607"/>
      <c r="AA62" s="607"/>
      <c r="AB62" s="607"/>
      <c r="AC62" s="607">
        <v>1</v>
      </c>
      <c r="AD62" s="621"/>
    </row>
    <row r="63" spans="1:31" s="348" customFormat="1">
      <c r="A63" s="893">
        <v>22</v>
      </c>
      <c r="B63" s="883">
        <v>641</v>
      </c>
      <c r="C63" s="864" t="s">
        <v>441</v>
      </c>
      <c r="D63" s="360" t="s">
        <v>718</v>
      </c>
      <c r="E63" s="861" t="s">
        <v>253</v>
      </c>
      <c r="F63" s="613">
        <v>327</v>
      </c>
      <c r="G63" s="607">
        <v>0.6</v>
      </c>
      <c r="H63" s="614">
        <v>1.75</v>
      </c>
      <c r="I63" s="615">
        <v>1</v>
      </c>
      <c r="J63" s="616">
        <v>1.7000000000000002</v>
      </c>
      <c r="K63" s="617">
        <f t="shared" si="13"/>
        <v>555.90000000000009</v>
      </c>
      <c r="L63" s="618"/>
      <c r="M63" s="618">
        <f t="shared" si="14"/>
        <v>555.90000000000009</v>
      </c>
      <c r="N63" s="607"/>
      <c r="O63" s="607"/>
      <c r="P63" s="618">
        <f t="shared" si="15"/>
        <v>333.54</v>
      </c>
      <c r="Q63" s="607"/>
      <c r="R63" s="607"/>
      <c r="S63" s="390"/>
      <c r="T63" s="473">
        <f>4*F63/10000</f>
        <v>0.1308</v>
      </c>
      <c r="U63" s="390">
        <v>0.2616</v>
      </c>
      <c r="V63" s="390"/>
      <c r="W63" s="607"/>
      <c r="X63" s="390">
        <f t="shared" si="11"/>
        <v>0.39239999999999997</v>
      </c>
      <c r="Y63" s="607"/>
      <c r="Z63" s="607"/>
      <c r="AA63" s="607"/>
      <c r="AB63" s="607"/>
      <c r="AC63" s="607"/>
      <c r="AD63" s="621"/>
    </row>
    <row r="64" spans="1:31" s="348" customFormat="1">
      <c r="A64" s="894">
        <v>23</v>
      </c>
      <c r="B64" s="883">
        <v>646</v>
      </c>
      <c r="C64" s="864" t="s">
        <v>441</v>
      </c>
      <c r="D64" s="360" t="s">
        <v>720</v>
      </c>
      <c r="E64" s="861" t="s">
        <v>253</v>
      </c>
      <c r="F64" s="613">
        <v>470</v>
      </c>
      <c r="G64" s="607">
        <v>0.6</v>
      </c>
      <c r="H64" s="614">
        <v>1.75</v>
      </c>
      <c r="I64" s="615">
        <v>1</v>
      </c>
      <c r="J64" s="616">
        <v>1.7000000000000002</v>
      </c>
      <c r="K64" s="617">
        <f t="shared" si="13"/>
        <v>799.00000000000011</v>
      </c>
      <c r="L64" s="618"/>
      <c r="M64" s="618">
        <f t="shared" si="14"/>
        <v>799.00000000000011</v>
      </c>
      <c r="N64" s="607"/>
      <c r="O64" s="607"/>
      <c r="P64" s="618">
        <f t="shared" si="15"/>
        <v>479.40000000000003</v>
      </c>
      <c r="Q64" s="607"/>
      <c r="R64" s="607"/>
      <c r="S64" s="390"/>
      <c r="T64" s="473">
        <f>4*F64/10000</f>
        <v>0.188</v>
      </c>
      <c r="U64" s="390"/>
      <c r="V64" s="390">
        <v>0.376</v>
      </c>
      <c r="W64" s="607"/>
      <c r="X64" s="390">
        <f t="shared" si="11"/>
        <v>0.56400000000000006</v>
      </c>
      <c r="Y64" s="607"/>
      <c r="Z64" s="607"/>
      <c r="AA64" s="607"/>
      <c r="AB64" s="607">
        <v>4</v>
      </c>
      <c r="AC64" s="607">
        <v>1</v>
      </c>
      <c r="AD64" s="621"/>
    </row>
    <row r="65" spans="1:30" s="348" customFormat="1">
      <c r="A65" s="893">
        <v>24</v>
      </c>
      <c r="B65" s="883">
        <v>647</v>
      </c>
      <c r="C65" s="864" t="s">
        <v>441</v>
      </c>
      <c r="D65" s="360" t="s">
        <v>720</v>
      </c>
      <c r="E65" s="861" t="s">
        <v>253</v>
      </c>
      <c r="F65" s="613">
        <v>234</v>
      </c>
      <c r="G65" s="607">
        <v>0.6</v>
      </c>
      <c r="H65" s="614">
        <v>1.75</v>
      </c>
      <c r="I65" s="615">
        <v>1</v>
      </c>
      <c r="J65" s="616">
        <v>1.7000000000000002</v>
      </c>
      <c r="K65" s="617">
        <f t="shared" si="13"/>
        <v>397.80000000000007</v>
      </c>
      <c r="L65" s="618"/>
      <c r="M65" s="618">
        <f t="shared" si="14"/>
        <v>397.80000000000007</v>
      </c>
      <c r="N65" s="607"/>
      <c r="O65" s="607"/>
      <c r="P65" s="618">
        <f t="shared" si="15"/>
        <v>238.68000000000004</v>
      </c>
      <c r="Q65" s="607"/>
      <c r="R65" s="607"/>
      <c r="S65" s="390"/>
      <c r="T65" s="473"/>
      <c r="U65" s="390"/>
      <c r="V65" s="390">
        <v>0.28079999999999999</v>
      </c>
      <c r="W65" s="607"/>
      <c r="X65" s="390">
        <f t="shared" si="11"/>
        <v>0.28079999999999999</v>
      </c>
      <c r="Y65" s="607"/>
      <c r="Z65" s="607"/>
      <c r="AA65" s="607"/>
      <c r="AB65" s="607"/>
      <c r="AC65" s="607"/>
      <c r="AD65" s="621"/>
    </row>
    <row r="66" spans="1:30" s="348" customFormat="1">
      <c r="A66" s="907">
        <v>25</v>
      </c>
      <c r="B66" s="883">
        <v>648</v>
      </c>
      <c r="C66" s="864" t="s">
        <v>441</v>
      </c>
      <c r="D66" s="360" t="s">
        <v>720</v>
      </c>
      <c r="E66" s="861" t="s">
        <v>253</v>
      </c>
      <c r="F66" s="613">
        <v>325</v>
      </c>
      <c r="G66" s="607">
        <v>0.6</v>
      </c>
      <c r="H66" s="614">
        <v>1.75</v>
      </c>
      <c r="I66" s="615">
        <v>1</v>
      </c>
      <c r="J66" s="616">
        <v>2</v>
      </c>
      <c r="K66" s="617">
        <f t="shared" si="13"/>
        <v>650</v>
      </c>
      <c r="L66" s="618"/>
      <c r="M66" s="618">
        <f t="shared" si="14"/>
        <v>650</v>
      </c>
      <c r="N66" s="607"/>
      <c r="O66" s="607"/>
      <c r="P66" s="618">
        <f t="shared" si="15"/>
        <v>390</v>
      </c>
      <c r="Q66" s="607"/>
      <c r="R66" s="607"/>
      <c r="S66" s="390"/>
      <c r="T66" s="473"/>
      <c r="U66" s="390"/>
      <c r="V66" s="390">
        <v>0.39</v>
      </c>
      <c r="W66" s="607"/>
      <c r="X66" s="390">
        <f t="shared" si="11"/>
        <v>0.39</v>
      </c>
      <c r="Y66" s="607"/>
      <c r="Z66" s="607"/>
      <c r="AA66" s="607"/>
      <c r="AB66" s="607"/>
      <c r="AC66" s="607">
        <v>1</v>
      </c>
      <c r="AD66" s="621"/>
    </row>
    <row r="67" spans="1:30" s="348" customFormat="1">
      <c r="A67" s="893">
        <v>26</v>
      </c>
      <c r="B67" s="883">
        <v>649</v>
      </c>
      <c r="C67" s="864" t="s">
        <v>441</v>
      </c>
      <c r="D67" s="360" t="s">
        <v>720</v>
      </c>
      <c r="E67" s="861" t="s">
        <v>253</v>
      </c>
      <c r="F67" s="613">
        <v>224</v>
      </c>
      <c r="G67" s="607">
        <v>0.6</v>
      </c>
      <c r="H67" s="614">
        <v>1.75</v>
      </c>
      <c r="I67" s="615">
        <v>1</v>
      </c>
      <c r="J67" s="616">
        <v>2</v>
      </c>
      <c r="K67" s="617">
        <f t="shared" si="13"/>
        <v>448</v>
      </c>
      <c r="L67" s="618"/>
      <c r="M67" s="618">
        <f t="shared" si="14"/>
        <v>448</v>
      </c>
      <c r="N67" s="607"/>
      <c r="O67" s="607"/>
      <c r="P67" s="618">
        <f t="shared" si="15"/>
        <v>268.8</v>
      </c>
      <c r="Q67" s="607"/>
      <c r="R67" s="607"/>
      <c r="S67" s="390"/>
      <c r="T67" s="473">
        <f>3*F67/10000</f>
        <v>6.7199999999999996E-2</v>
      </c>
      <c r="U67" s="390"/>
      <c r="V67" s="390">
        <v>0.2016</v>
      </c>
      <c r="W67" s="607"/>
      <c r="X67" s="390">
        <f t="shared" si="11"/>
        <v>0.26879999999999998</v>
      </c>
      <c r="Y67" s="607"/>
      <c r="Z67" s="607"/>
      <c r="AA67" s="607"/>
      <c r="AB67" s="607"/>
      <c r="AC67" s="607"/>
      <c r="AD67" s="621"/>
    </row>
    <row r="68" spans="1:30" s="348" customFormat="1">
      <c r="A68" s="894">
        <v>27</v>
      </c>
      <c r="B68" s="883">
        <v>650</v>
      </c>
      <c r="C68" s="864" t="s">
        <v>441</v>
      </c>
      <c r="D68" s="360" t="s">
        <v>720</v>
      </c>
      <c r="E68" s="861" t="s">
        <v>253</v>
      </c>
      <c r="F68" s="613">
        <v>355</v>
      </c>
      <c r="G68" s="607">
        <v>0.6</v>
      </c>
      <c r="H68" s="614">
        <v>1.75</v>
      </c>
      <c r="I68" s="615">
        <v>1</v>
      </c>
      <c r="J68" s="616">
        <v>2</v>
      </c>
      <c r="K68" s="617">
        <f t="shared" si="13"/>
        <v>710</v>
      </c>
      <c r="L68" s="618"/>
      <c r="M68" s="618">
        <f t="shared" si="14"/>
        <v>710</v>
      </c>
      <c r="N68" s="607"/>
      <c r="O68" s="607"/>
      <c r="P68" s="618">
        <f t="shared" si="15"/>
        <v>426</v>
      </c>
      <c r="Q68" s="607"/>
      <c r="R68" s="607"/>
      <c r="S68" s="390"/>
      <c r="T68" s="473">
        <f>3*F68/10000</f>
        <v>0.1065</v>
      </c>
      <c r="U68" s="390">
        <v>0.31950000000000001</v>
      </c>
      <c r="V68" s="390"/>
      <c r="W68" s="607"/>
      <c r="X68" s="390">
        <f t="shared" si="11"/>
        <v>0.42599999999999999</v>
      </c>
      <c r="Y68" s="607"/>
      <c r="Z68" s="607"/>
      <c r="AA68" s="607"/>
      <c r="AB68" s="607"/>
      <c r="AC68" s="607">
        <v>1</v>
      </c>
      <c r="AD68" s="621"/>
    </row>
    <row r="69" spans="1:30" s="348" customFormat="1">
      <c r="A69" s="893">
        <v>28</v>
      </c>
      <c r="B69" s="883">
        <v>653</v>
      </c>
      <c r="C69" s="864" t="s">
        <v>441</v>
      </c>
      <c r="D69" s="360" t="s">
        <v>711</v>
      </c>
      <c r="E69" s="861" t="s">
        <v>253</v>
      </c>
      <c r="F69" s="613">
        <v>296</v>
      </c>
      <c r="G69" s="607">
        <v>0.6</v>
      </c>
      <c r="H69" s="614">
        <v>1.75</v>
      </c>
      <c r="I69" s="615">
        <v>1</v>
      </c>
      <c r="J69" s="616">
        <v>1.7000000000000002</v>
      </c>
      <c r="K69" s="617">
        <f t="shared" si="13"/>
        <v>503.20000000000005</v>
      </c>
      <c r="L69" s="618"/>
      <c r="M69" s="618">
        <f t="shared" si="14"/>
        <v>503.20000000000005</v>
      </c>
      <c r="N69" s="607"/>
      <c r="O69" s="607"/>
      <c r="P69" s="618">
        <f t="shared" si="15"/>
        <v>301.92</v>
      </c>
      <c r="Q69" s="607"/>
      <c r="R69" s="607"/>
      <c r="S69" s="390"/>
      <c r="T69" s="473"/>
      <c r="U69" s="390"/>
      <c r="V69" s="390">
        <v>0.35520000000000002</v>
      </c>
      <c r="W69" s="607"/>
      <c r="X69" s="390">
        <f t="shared" si="11"/>
        <v>0.35520000000000002</v>
      </c>
      <c r="Y69" s="607"/>
      <c r="Z69" s="607"/>
      <c r="AA69" s="607"/>
      <c r="AB69" s="607"/>
      <c r="AC69" s="607">
        <v>1</v>
      </c>
      <c r="AD69" s="621"/>
    </row>
    <row r="70" spans="1:30" s="348" customFormat="1" ht="15.75" thickBot="1">
      <c r="A70" s="846"/>
      <c r="B70" s="862"/>
      <c r="C70" s="875"/>
      <c r="D70" s="637"/>
      <c r="E70" s="624"/>
      <c r="F70" s="624"/>
      <c r="G70" s="624"/>
      <c r="H70" s="637"/>
      <c r="I70" s="637"/>
      <c r="J70" s="637"/>
      <c r="K70" s="638"/>
      <c r="L70" s="639"/>
      <c r="M70" s="639"/>
      <c r="N70" s="624"/>
      <c r="O70" s="624"/>
      <c r="P70" s="639"/>
      <c r="Q70" s="624"/>
      <c r="R70" s="624"/>
      <c r="S70" s="467"/>
      <c r="T70" s="467"/>
      <c r="U70" s="467"/>
      <c r="V70" s="467"/>
      <c r="W70" s="624"/>
      <c r="X70" s="467"/>
      <c r="Y70" s="624"/>
      <c r="Z70" s="624"/>
      <c r="AA70" s="624"/>
      <c r="AB70" s="624"/>
      <c r="AC70" s="624"/>
      <c r="AD70" s="625"/>
    </row>
    <row r="71" spans="1:30" s="348" customFormat="1" ht="15.75" thickBot="1">
      <c r="A71" s="675"/>
      <c r="B71" s="1465" t="s">
        <v>438</v>
      </c>
      <c r="C71" s="1466"/>
      <c r="D71" s="676"/>
      <c r="E71" s="677"/>
      <c r="F71" s="678">
        <f>SUM(F43:F70)</f>
        <v>11197</v>
      </c>
      <c r="G71" s="678"/>
      <c r="H71" s="679"/>
      <c r="I71" s="679"/>
      <c r="J71" s="679"/>
      <c r="K71" s="680">
        <f>SUM(K43:K70)</f>
        <v>21331.600000000002</v>
      </c>
      <c r="L71" s="507"/>
      <c r="M71" s="507">
        <f>SUM(M43:M70)</f>
        <v>21331.600000000002</v>
      </c>
      <c r="N71" s="678"/>
      <c r="O71" s="678"/>
      <c r="P71" s="507">
        <f>SUM(P43:P70)</f>
        <v>12798.960000000001</v>
      </c>
      <c r="Q71" s="678"/>
      <c r="R71" s="678"/>
      <c r="S71" s="476"/>
      <c r="T71" s="476">
        <f>SUM(T43:T70)</f>
        <v>3.6920999999999995</v>
      </c>
      <c r="U71" s="476">
        <f>SUM(U43:U70)</f>
        <v>1.1240999999999999</v>
      </c>
      <c r="V71" s="476">
        <f>SUM(V43:V70)</f>
        <v>9.7312999999999974</v>
      </c>
      <c r="W71" s="678"/>
      <c r="X71" s="476">
        <f>SUM(X43:X70)</f>
        <v>14.547500000000001</v>
      </c>
      <c r="Y71" s="678"/>
      <c r="Z71" s="678"/>
      <c r="AA71" s="476">
        <f>SUM(AA43:AA70)</f>
        <v>0.32600000000000001</v>
      </c>
      <c r="AB71" s="507">
        <f>SUM(AB43:AB70)</f>
        <v>65</v>
      </c>
      <c r="AC71" s="507">
        <f>SUM(AC43:AC70)</f>
        <v>22</v>
      </c>
      <c r="AD71" s="681"/>
    </row>
    <row r="72" spans="1:30" s="348" customFormat="1">
      <c r="A72" s="987"/>
      <c r="B72" s="1467" t="s">
        <v>439</v>
      </c>
      <c r="C72" s="1467"/>
      <c r="D72" s="682"/>
      <c r="E72" s="988"/>
      <c r="F72" s="683">
        <f>F43</f>
        <v>614</v>
      </c>
      <c r="G72" s="683"/>
      <c r="H72" s="684"/>
      <c r="I72" s="684"/>
      <c r="J72" s="684"/>
      <c r="K72" s="508">
        <f>K43</f>
        <v>3348</v>
      </c>
      <c r="L72" s="508"/>
      <c r="M72" s="508">
        <f>M43</f>
        <v>3348</v>
      </c>
      <c r="N72" s="508"/>
      <c r="O72" s="508"/>
      <c r="P72" s="508">
        <f>P43</f>
        <v>2008.8</v>
      </c>
      <c r="Q72" s="683"/>
      <c r="R72" s="683"/>
      <c r="S72" s="477"/>
      <c r="T72" s="477">
        <f t="shared" ref="T72:V72" si="16">T43</f>
        <v>0.66959999999999997</v>
      </c>
      <c r="U72" s="477"/>
      <c r="V72" s="477">
        <f t="shared" si="16"/>
        <v>1.5791999999999999</v>
      </c>
      <c r="W72" s="477"/>
      <c r="X72" s="477">
        <f>X43</f>
        <v>2.2488000000000001</v>
      </c>
      <c r="Y72" s="683"/>
      <c r="Z72" s="683"/>
      <c r="AA72" s="477">
        <f t="shared" ref="AA72:AC72" si="17">AA43</f>
        <v>0.32600000000000001</v>
      </c>
      <c r="AB72" s="683">
        <f t="shared" si="17"/>
        <v>20</v>
      </c>
      <c r="AC72" s="683">
        <f t="shared" si="17"/>
        <v>2</v>
      </c>
      <c r="AD72" s="685"/>
    </row>
    <row r="73" spans="1:30" s="348" customFormat="1">
      <c r="A73" s="845"/>
      <c r="B73" s="1451" t="s">
        <v>440</v>
      </c>
      <c r="C73" s="1451"/>
      <c r="D73" s="614"/>
      <c r="E73" s="607"/>
      <c r="F73" s="686">
        <f>F45+F46+F47+F48+F49+F50+F51+F52+F53+F54+F55+F56+F57+F58+F61+F62+F63+F64+F65+F66+F67+F68+F69</f>
        <v>9488</v>
      </c>
      <c r="G73" s="662"/>
      <c r="H73" s="663"/>
      <c r="I73" s="663"/>
      <c r="J73" s="663"/>
      <c r="K73" s="963">
        <f>K45+K46+K47+K48+K49+K50+K51+K52+K53+K54+K55+K56+K57+K58+K61+K62+K63+K64+K65+K66+K67+K68+K69</f>
        <v>16570.600000000002</v>
      </c>
      <c r="L73" s="509"/>
      <c r="M73" s="963">
        <f>M45+M46+M47+M48+M49+M50+M51+M52+M53+M54+M55+M56+M57+M58+M61+M62+M63+M64+M65+M66+M67+M68+M69</f>
        <v>16570.600000000002</v>
      </c>
      <c r="N73" s="509"/>
      <c r="O73" s="509"/>
      <c r="P73" s="963">
        <f>P45+P46+P47+P48+P49+P50+P51+P52+P53+P54+P55+P56+P57+P58+P61+P62+P63+P64+P65+P66+P67+P68+P69</f>
        <v>9942.36</v>
      </c>
      <c r="Q73" s="662"/>
      <c r="R73" s="662"/>
      <c r="S73" s="472"/>
      <c r="T73" s="962">
        <f t="shared" ref="T73:V73" si="18">T45+T46+T47+T48+T49+T50+T51+T52+T53+T54+T55+T56+T57+T58+T61+T62+T63+T64+T65+T66+T67+T68+T69</f>
        <v>2.9225999999999996</v>
      </c>
      <c r="U73" s="962">
        <f t="shared" si="18"/>
        <v>1.0251000000000001</v>
      </c>
      <c r="V73" s="962">
        <f t="shared" si="18"/>
        <v>7.3858999999999995</v>
      </c>
      <c r="W73" s="472"/>
      <c r="X73" s="962">
        <f>X45+X46+X47+X48+X49+X50+X51+X52+X53+X54+X55+X56+X57+X58+X61+X62+X63+X64+X65+X66+X67+X68+X69</f>
        <v>11.333600000000001</v>
      </c>
      <c r="Y73" s="662"/>
      <c r="Z73" s="662"/>
      <c r="AA73" s="686"/>
      <c r="AB73" s="686">
        <f t="shared" ref="AA73:AC73" si="19">AB45+AB46+AB47+AB48+AB49+AB50+AB51+AB52+AB53+AB54+AB55+AB56+AB57+AB58+AB61+AB62+AB63+AB64+AB65+AB66+AB67+AB68+AB69</f>
        <v>45</v>
      </c>
      <c r="AC73" s="686">
        <f t="shared" si="19"/>
        <v>18</v>
      </c>
      <c r="AD73" s="665"/>
    </row>
    <row r="74" spans="1:30" s="348" customFormat="1">
      <c r="A74" s="918"/>
      <c r="B74" s="1460" t="s">
        <v>442</v>
      </c>
      <c r="C74" s="1460"/>
      <c r="D74" s="647"/>
      <c r="E74" s="480"/>
      <c r="F74" s="487">
        <f>F44</f>
        <v>330</v>
      </c>
      <c r="G74" s="648"/>
      <c r="H74" s="649"/>
      <c r="I74" s="649"/>
      <c r="J74" s="649"/>
      <c r="K74" s="487">
        <f>K44</f>
        <v>495</v>
      </c>
      <c r="L74" s="487"/>
      <c r="M74" s="487">
        <f>M44</f>
        <v>495</v>
      </c>
      <c r="N74" s="487"/>
      <c r="O74" s="487"/>
      <c r="P74" s="487">
        <f>P44</f>
        <v>297</v>
      </c>
      <c r="Q74" s="648"/>
      <c r="R74" s="648"/>
      <c r="S74" s="474"/>
      <c r="T74" s="474"/>
      <c r="U74" s="474">
        <f t="shared" ref="T74:V74" si="20">U44</f>
        <v>9.9000000000000005E-2</v>
      </c>
      <c r="V74" s="474">
        <f t="shared" si="20"/>
        <v>9.9000000000000005E-2</v>
      </c>
      <c r="W74" s="474"/>
      <c r="X74" s="474">
        <f>X44</f>
        <v>0.19800000000000001</v>
      </c>
      <c r="Y74" s="648"/>
      <c r="Z74" s="648"/>
      <c r="AA74" s="487"/>
      <c r="AB74" s="487"/>
      <c r="AC74" s="487"/>
      <c r="AD74" s="650"/>
    </row>
    <row r="75" spans="1:30" s="348" customFormat="1">
      <c r="A75" s="918"/>
      <c r="B75" s="1460" t="s">
        <v>872</v>
      </c>
      <c r="C75" s="1460"/>
      <c r="D75" s="647"/>
      <c r="E75" s="480"/>
      <c r="F75" s="487">
        <f>F60+F59</f>
        <v>765</v>
      </c>
      <c r="G75" s="648"/>
      <c r="H75" s="649"/>
      <c r="I75" s="649"/>
      <c r="J75" s="649"/>
      <c r="K75" s="487">
        <f>K60+K59</f>
        <v>918</v>
      </c>
      <c r="L75" s="487"/>
      <c r="M75" s="487">
        <f>M60+M59</f>
        <v>918</v>
      </c>
      <c r="N75" s="487"/>
      <c r="O75" s="487"/>
      <c r="P75" s="487">
        <f>P60+P59</f>
        <v>550.79999999999995</v>
      </c>
      <c r="Q75" s="648"/>
      <c r="R75" s="648"/>
      <c r="S75" s="474"/>
      <c r="T75" s="474">
        <f t="shared" ref="T75:V75" si="21">T60+T59</f>
        <v>9.9900000000000003E-2</v>
      </c>
      <c r="U75" s="474"/>
      <c r="V75" s="474">
        <f t="shared" si="21"/>
        <v>0.66720000000000002</v>
      </c>
      <c r="W75" s="474"/>
      <c r="X75" s="474">
        <f>X60+X59</f>
        <v>0.76709999999999989</v>
      </c>
      <c r="Y75" s="648"/>
      <c r="Z75" s="648"/>
      <c r="AA75" s="487"/>
      <c r="AB75" s="487"/>
      <c r="AC75" s="487">
        <f t="shared" ref="AA75:AC75" si="22">AC60+AC59</f>
        <v>2</v>
      </c>
      <c r="AD75" s="650"/>
    </row>
    <row r="76" spans="1:30" s="348" customFormat="1" ht="15.75" thickBot="1">
      <c r="A76" s="846"/>
      <c r="B76" s="1463"/>
      <c r="C76" s="1463"/>
      <c r="D76" s="637"/>
      <c r="E76" s="624"/>
      <c r="F76" s="488"/>
      <c r="G76" s="651"/>
      <c r="H76" s="652"/>
      <c r="I76" s="652"/>
      <c r="J76" s="652"/>
      <c r="K76" s="488"/>
      <c r="L76" s="488"/>
      <c r="M76" s="488"/>
      <c r="N76" s="651"/>
      <c r="O76" s="651"/>
      <c r="P76" s="488"/>
      <c r="Q76" s="651"/>
      <c r="R76" s="651"/>
      <c r="S76" s="470"/>
      <c r="T76" s="470"/>
      <c r="U76" s="470"/>
      <c r="V76" s="470"/>
      <c r="W76" s="651"/>
      <c r="X76" s="470"/>
      <c r="Y76" s="651"/>
      <c r="Z76" s="651"/>
      <c r="AA76" s="470"/>
      <c r="AB76" s="488"/>
      <c r="AC76" s="488"/>
      <c r="AD76" s="653"/>
    </row>
    <row r="77" spans="1:30" s="348" customFormat="1">
      <c r="A77" s="654"/>
      <c r="B77" s="873"/>
      <c r="C77" s="873"/>
      <c r="D77" s="655"/>
      <c r="E77" s="387"/>
      <c r="F77" s="659"/>
      <c r="G77" s="656"/>
      <c r="H77" s="657"/>
      <c r="I77" s="657"/>
      <c r="J77" s="657"/>
      <c r="K77" s="658"/>
      <c r="L77" s="659"/>
      <c r="M77" s="659"/>
      <c r="N77" s="656"/>
      <c r="O77" s="656"/>
      <c r="P77" s="659"/>
      <c r="Q77" s="656"/>
      <c r="R77" s="656"/>
      <c r="S77" s="471"/>
      <c r="T77" s="471"/>
      <c r="U77" s="471"/>
      <c r="V77" s="471"/>
      <c r="W77" s="656"/>
      <c r="X77" s="471"/>
      <c r="Y77" s="656"/>
      <c r="Z77" s="656"/>
      <c r="AA77" s="656"/>
      <c r="AB77" s="656"/>
      <c r="AC77" s="656"/>
      <c r="AD77" s="660"/>
    </row>
    <row r="78" spans="1:30" s="348" customFormat="1">
      <c r="A78" s="654"/>
      <c r="B78" s="876"/>
      <c r="C78" s="876"/>
      <c r="D78" s="655"/>
      <c r="E78" s="863"/>
      <c r="F78" s="656"/>
      <c r="G78" s="656"/>
      <c r="H78" s="657"/>
      <c r="I78" s="657"/>
      <c r="J78" s="657"/>
      <c r="K78" s="658"/>
      <c r="L78" s="659"/>
      <c r="M78" s="659"/>
      <c r="N78" s="656"/>
      <c r="O78" s="656"/>
      <c r="P78" s="659"/>
      <c r="Q78" s="656"/>
      <c r="R78" s="656"/>
      <c r="S78" s="471"/>
      <c r="T78" s="471"/>
      <c r="U78" s="471"/>
      <c r="V78" s="471"/>
      <c r="W78" s="656"/>
      <c r="X78" s="471"/>
      <c r="Y78" s="656"/>
      <c r="Z78" s="656"/>
      <c r="AA78" s="656"/>
      <c r="AB78" s="656"/>
      <c r="AC78" s="656"/>
      <c r="AD78" s="660"/>
    </row>
    <row r="79" spans="1:30" s="348" customFormat="1" ht="15.75" thickBot="1">
      <c r="A79" s="654"/>
      <c r="B79" s="876"/>
      <c r="C79" s="876"/>
      <c r="D79" s="695"/>
      <c r="E79" s="387"/>
      <c r="F79" s="656"/>
      <c r="G79" s="656"/>
      <c r="H79" s="657"/>
      <c r="I79" s="657"/>
      <c r="J79" s="657"/>
      <c r="K79" s="658"/>
      <c r="L79" s="659"/>
      <c r="M79" s="659"/>
      <c r="N79" s="656"/>
      <c r="O79" s="656"/>
      <c r="P79" s="659"/>
      <c r="Q79" s="656"/>
      <c r="R79" s="656"/>
      <c r="S79" s="471"/>
      <c r="T79" s="471"/>
      <c r="U79" s="471"/>
      <c r="V79" s="471"/>
      <c r="W79" s="656"/>
      <c r="X79" s="471"/>
      <c r="Y79" s="656"/>
      <c r="Z79" s="656"/>
      <c r="AA79" s="656"/>
      <c r="AB79" s="656"/>
      <c r="AC79" s="656"/>
      <c r="AD79" s="660"/>
    </row>
    <row r="80" spans="1:30" s="348" customFormat="1">
      <c r="A80" s="1468" t="s">
        <v>550</v>
      </c>
      <c r="B80" s="1469"/>
      <c r="C80" s="690" t="s">
        <v>444</v>
      </c>
      <c r="D80" s="360"/>
      <c r="E80" s="607"/>
      <c r="F80" s="662"/>
      <c r="G80" s="662"/>
      <c r="H80" s="663"/>
      <c r="I80" s="663"/>
      <c r="J80" s="663"/>
      <c r="K80" s="664"/>
      <c r="L80" s="509"/>
      <c r="M80" s="509"/>
      <c r="N80" s="662"/>
      <c r="O80" s="662"/>
      <c r="P80" s="509"/>
      <c r="Q80" s="662"/>
      <c r="R80" s="662"/>
      <c r="S80" s="472"/>
      <c r="T80" s="472"/>
      <c r="U80" s="472"/>
      <c r="V80" s="472"/>
      <c r="W80" s="662"/>
      <c r="X80" s="472"/>
      <c r="Y80" s="662"/>
      <c r="Z80" s="662"/>
      <c r="AA80" s="662"/>
      <c r="AB80" s="662"/>
      <c r="AC80" s="662"/>
      <c r="AD80" s="665"/>
    </row>
    <row r="81" spans="1:30" s="348" customFormat="1" ht="15.75" thickBot="1">
      <c r="A81" s="1446">
        <v>6112900030240</v>
      </c>
      <c r="B81" s="1447"/>
      <c r="C81" s="696">
        <v>101</v>
      </c>
      <c r="D81" s="360"/>
      <c r="E81" s="607"/>
      <c r="F81" s="662"/>
      <c r="G81" s="662"/>
      <c r="H81" s="663"/>
      <c r="I81" s="663"/>
      <c r="J81" s="663"/>
      <c r="K81" s="664"/>
      <c r="L81" s="509"/>
      <c r="M81" s="509"/>
      <c r="N81" s="662"/>
      <c r="O81" s="662"/>
      <c r="P81" s="509"/>
      <c r="Q81" s="662"/>
      <c r="R81" s="662"/>
      <c r="S81" s="472"/>
      <c r="T81" s="472"/>
      <c r="U81" s="472"/>
      <c r="V81" s="472"/>
      <c r="W81" s="662"/>
      <c r="X81" s="472"/>
      <c r="Y81" s="662"/>
      <c r="Z81" s="662"/>
      <c r="AA81" s="662"/>
      <c r="AB81" s="662"/>
      <c r="AC81" s="662"/>
      <c r="AD81" s="665"/>
    </row>
    <row r="82" spans="1:30" s="348" customFormat="1">
      <c r="A82" s="667"/>
      <c r="B82" s="886"/>
      <c r="C82" s="868"/>
      <c r="D82" s="697"/>
      <c r="E82" s="386"/>
      <c r="F82" s="386"/>
      <c r="G82" s="386"/>
      <c r="H82" s="668"/>
      <c r="I82" s="668"/>
      <c r="J82" s="668"/>
      <c r="K82" s="669"/>
      <c r="L82" s="670"/>
      <c r="M82" s="670"/>
      <c r="N82" s="386"/>
      <c r="O82" s="386"/>
      <c r="P82" s="670"/>
      <c r="Q82" s="386"/>
      <c r="R82" s="386"/>
      <c r="S82" s="475"/>
      <c r="T82" s="475"/>
      <c r="U82" s="475"/>
      <c r="V82" s="475"/>
      <c r="W82" s="386"/>
      <c r="X82" s="475"/>
      <c r="Y82" s="386"/>
      <c r="Z82" s="386"/>
      <c r="AA82" s="386"/>
      <c r="AB82" s="386"/>
      <c r="AC82" s="386"/>
      <c r="AD82" s="671"/>
    </row>
    <row r="83" spans="1:30" s="348" customFormat="1">
      <c r="A83" s="895">
        <v>1</v>
      </c>
      <c r="B83" s="887">
        <v>900</v>
      </c>
      <c r="C83" s="864" t="s">
        <v>444</v>
      </c>
      <c r="D83" s="360" t="s">
        <v>709</v>
      </c>
      <c r="E83" s="859" t="s">
        <v>251</v>
      </c>
      <c r="F83" s="613">
        <v>145</v>
      </c>
      <c r="G83" s="607">
        <v>0.6</v>
      </c>
      <c r="H83" s="614">
        <v>1.75</v>
      </c>
      <c r="I83" s="615">
        <v>1</v>
      </c>
      <c r="J83" s="614">
        <v>1.6</v>
      </c>
      <c r="K83" s="617">
        <f t="shared" ref="K83:K130" si="23">F83*J83</f>
        <v>232</v>
      </c>
      <c r="L83" s="618"/>
      <c r="M83" s="618">
        <f t="shared" ref="M83:M136" si="24">K83</f>
        <v>232</v>
      </c>
      <c r="N83" s="607"/>
      <c r="O83" s="607"/>
      <c r="P83" s="618">
        <f t="shared" ref="P83:P109" si="25">M83*0.6</f>
        <v>139.19999999999999</v>
      </c>
      <c r="Q83" s="607"/>
      <c r="R83" s="607"/>
      <c r="S83" s="390"/>
      <c r="T83" s="390">
        <f>4*F83/10000</f>
        <v>5.8000000000000003E-2</v>
      </c>
      <c r="U83" s="390"/>
      <c r="V83" s="390">
        <f>2*F83/10000</f>
        <v>2.9000000000000001E-2</v>
      </c>
      <c r="W83" s="607"/>
      <c r="X83" s="390">
        <f t="shared" ref="X83:X113" si="26">SUM(S83:W83)</f>
        <v>8.7000000000000008E-2</v>
      </c>
      <c r="Y83" s="607"/>
      <c r="Z83" s="607"/>
      <c r="AA83" s="607"/>
      <c r="AB83" s="607"/>
      <c r="AC83" s="607"/>
      <c r="AD83" s="621"/>
    </row>
    <row r="84" spans="1:30" s="348" customFormat="1">
      <c r="A84" s="896">
        <v>2</v>
      </c>
      <c r="B84" s="882">
        <v>901</v>
      </c>
      <c r="C84" s="864" t="s">
        <v>444</v>
      </c>
      <c r="D84" s="360" t="s">
        <v>712</v>
      </c>
      <c r="E84" s="859" t="s">
        <v>251</v>
      </c>
      <c r="F84" s="613">
        <v>160</v>
      </c>
      <c r="G84" s="607">
        <v>0.6</v>
      </c>
      <c r="H84" s="614">
        <v>1.75</v>
      </c>
      <c r="I84" s="615">
        <v>1</v>
      </c>
      <c r="J84" s="614">
        <v>1.5</v>
      </c>
      <c r="K84" s="617">
        <f t="shared" si="23"/>
        <v>240</v>
      </c>
      <c r="L84" s="618"/>
      <c r="M84" s="618">
        <f t="shared" si="24"/>
        <v>240</v>
      </c>
      <c r="N84" s="607"/>
      <c r="O84" s="607"/>
      <c r="P84" s="618">
        <f t="shared" si="25"/>
        <v>144</v>
      </c>
      <c r="Q84" s="607"/>
      <c r="R84" s="607"/>
      <c r="S84" s="390"/>
      <c r="T84" s="390">
        <f>3*F84/10000</f>
        <v>4.8000000000000001E-2</v>
      </c>
      <c r="U84" s="390"/>
      <c r="V84" s="390">
        <f>2*F84/10000</f>
        <v>3.2000000000000001E-2</v>
      </c>
      <c r="W84" s="607"/>
      <c r="X84" s="390">
        <f t="shared" si="26"/>
        <v>0.08</v>
      </c>
      <c r="Y84" s="607"/>
      <c r="Z84" s="607"/>
      <c r="AA84" s="607"/>
      <c r="AB84" s="607"/>
      <c r="AC84" s="607"/>
      <c r="AD84" s="621"/>
    </row>
    <row r="85" spans="1:30" s="348" customFormat="1">
      <c r="A85" s="896">
        <v>3</v>
      </c>
      <c r="B85" s="882">
        <v>902</v>
      </c>
      <c r="C85" s="864" t="s">
        <v>444</v>
      </c>
      <c r="D85" s="360" t="s">
        <v>712</v>
      </c>
      <c r="E85" s="859" t="s">
        <v>251</v>
      </c>
      <c r="F85" s="613">
        <v>153</v>
      </c>
      <c r="G85" s="607">
        <v>0.6</v>
      </c>
      <c r="H85" s="614">
        <v>1.75</v>
      </c>
      <c r="I85" s="615">
        <v>1</v>
      </c>
      <c r="J85" s="614">
        <v>1.5</v>
      </c>
      <c r="K85" s="617">
        <f t="shared" si="23"/>
        <v>229.5</v>
      </c>
      <c r="L85" s="618"/>
      <c r="M85" s="618">
        <f t="shared" si="24"/>
        <v>229.5</v>
      </c>
      <c r="N85" s="607"/>
      <c r="O85" s="607"/>
      <c r="P85" s="618">
        <f t="shared" si="25"/>
        <v>137.69999999999999</v>
      </c>
      <c r="Q85" s="607"/>
      <c r="R85" s="607"/>
      <c r="S85" s="390"/>
      <c r="T85" s="390">
        <f>5*F85/10000</f>
        <v>7.6499999999999999E-2</v>
      </c>
      <c r="U85" s="390"/>
      <c r="V85" s="390"/>
      <c r="W85" s="607"/>
      <c r="X85" s="390">
        <f t="shared" si="26"/>
        <v>7.6499999999999999E-2</v>
      </c>
      <c r="Y85" s="607"/>
      <c r="Z85" s="607"/>
      <c r="AA85" s="607"/>
      <c r="AB85" s="607"/>
      <c r="AC85" s="607"/>
      <c r="AD85" s="621"/>
    </row>
    <row r="86" spans="1:30" s="348" customFormat="1">
      <c r="A86" s="896">
        <v>4</v>
      </c>
      <c r="B86" s="882">
        <v>903</v>
      </c>
      <c r="C86" s="864" t="s">
        <v>444</v>
      </c>
      <c r="D86" s="360" t="s">
        <v>719</v>
      </c>
      <c r="E86" s="859" t="s">
        <v>251</v>
      </c>
      <c r="F86" s="613">
        <v>333</v>
      </c>
      <c r="G86" s="607">
        <v>0.6</v>
      </c>
      <c r="H86" s="614">
        <v>1.75</v>
      </c>
      <c r="I86" s="615">
        <v>1</v>
      </c>
      <c r="J86" s="614">
        <v>1.5</v>
      </c>
      <c r="K86" s="617">
        <f t="shared" si="23"/>
        <v>499.5</v>
      </c>
      <c r="L86" s="618"/>
      <c r="M86" s="618">
        <f t="shared" si="24"/>
        <v>499.5</v>
      </c>
      <c r="N86" s="607"/>
      <c r="O86" s="607"/>
      <c r="P86" s="618">
        <f t="shared" si="25"/>
        <v>299.7</v>
      </c>
      <c r="Q86" s="607"/>
      <c r="R86" s="607"/>
      <c r="S86" s="390"/>
      <c r="T86" s="390"/>
      <c r="U86" s="390">
        <f>3*F86/10000</f>
        <v>9.9900000000000003E-2</v>
      </c>
      <c r="V86" s="390">
        <f>3*F86/10000</f>
        <v>9.9900000000000003E-2</v>
      </c>
      <c r="W86" s="607"/>
      <c r="X86" s="390">
        <f t="shared" si="26"/>
        <v>0.19980000000000001</v>
      </c>
      <c r="Y86" s="607"/>
      <c r="Z86" s="607"/>
      <c r="AA86" s="607"/>
      <c r="AB86" s="607"/>
      <c r="AC86" s="607"/>
      <c r="AD86" s="621"/>
    </row>
    <row r="87" spans="1:30" s="348" customFormat="1">
      <c r="A87" s="896">
        <v>5</v>
      </c>
      <c r="B87" s="882">
        <v>904</v>
      </c>
      <c r="C87" s="864" t="s">
        <v>444</v>
      </c>
      <c r="D87" s="360" t="s">
        <v>705</v>
      </c>
      <c r="E87" s="859" t="s">
        <v>251</v>
      </c>
      <c r="F87" s="613">
        <v>169</v>
      </c>
      <c r="G87" s="607">
        <v>0.6</v>
      </c>
      <c r="H87" s="614">
        <v>1.75</v>
      </c>
      <c r="I87" s="615">
        <v>1</v>
      </c>
      <c r="J87" s="614">
        <v>1.5</v>
      </c>
      <c r="K87" s="617">
        <f t="shared" si="23"/>
        <v>253.5</v>
      </c>
      <c r="L87" s="618"/>
      <c r="M87" s="618">
        <f t="shared" si="24"/>
        <v>253.5</v>
      </c>
      <c r="N87" s="607"/>
      <c r="O87" s="607"/>
      <c r="P87" s="618">
        <f t="shared" si="25"/>
        <v>152.1</v>
      </c>
      <c r="Q87" s="607"/>
      <c r="R87" s="607"/>
      <c r="S87" s="390"/>
      <c r="T87" s="390"/>
      <c r="U87" s="390"/>
      <c r="V87" s="390">
        <f>6*F87/10000</f>
        <v>0.1014</v>
      </c>
      <c r="W87" s="607"/>
      <c r="X87" s="390">
        <f t="shared" si="26"/>
        <v>0.1014</v>
      </c>
      <c r="Y87" s="607"/>
      <c r="Z87" s="607"/>
      <c r="AA87" s="607"/>
      <c r="AB87" s="607"/>
      <c r="AC87" s="607"/>
      <c r="AD87" s="621"/>
    </row>
    <row r="88" spans="1:30" s="348" customFormat="1">
      <c r="A88" s="845">
        <v>6</v>
      </c>
      <c r="B88" s="881">
        <v>905</v>
      </c>
      <c r="C88" s="864" t="s">
        <v>444</v>
      </c>
      <c r="D88" s="360" t="s">
        <v>705</v>
      </c>
      <c r="E88" s="859" t="s">
        <v>251</v>
      </c>
      <c r="F88" s="631">
        <v>139</v>
      </c>
      <c r="G88" s="607">
        <v>0.6</v>
      </c>
      <c r="H88" s="614">
        <v>1.75</v>
      </c>
      <c r="I88" s="615">
        <v>1</v>
      </c>
      <c r="J88" s="614">
        <v>1.4</v>
      </c>
      <c r="K88" s="617">
        <f t="shared" si="23"/>
        <v>194.6</v>
      </c>
      <c r="L88" s="618"/>
      <c r="M88" s="618">
        <f t="shared" si="24"/>
        <v>194.6</v>
      </c>
      <c r="N88" s="607"/>
      <c r="O88" s="607"/>
      <c r="P88" s="618">
        <f t="shared" si="25"/>
        <v>116.75999999999999</v>
      </c>
      <c r="Q88" s="607"/>
      <c r="R88" s="607"/>
      <c r="S88" s="390"/>
      <c r="T88" s="390"/>
      <c r="U88" s="390">
        <f>F88*3/10000</f>
        <v>4.1700000000000001E-2</v>
      </c>
      <c r="V88" s="390">
        <f>F88*3/10000</f>
        <v>4.1700000000000001E-2</v>
      </c>
      <c r="W88" s="607"/>
      <c r="X88" s="390">
        <f t="shared" si="26"/>
        <v>8.3400000000000002E-2</v>
      </c>
      <c r="Y88" s="607"/>
      <c r="Z88" s="607"/>
      <c r="AA88" s="607"/>
      <c r="AB88" s="607"/>
      <c r="AC88" s="607"/>
      <c r="AD88" s="621"/>
    </row>
    <row r="89" spans="1:30" s="348" customFormat="1">
      <c r="A89" s="845">
        <v>7</v>
      </c>
      <c r="B89" s="881">
        <v>906</v>
      </c>
      <c r="C89" s="864" t="s">
        <v>444</v>
      </c>
      <c r="D89" s="360" t="s">
        <v>720</v>
      </c>
      <c r="E89" s="859" t="s">
        <v>251</v>
      </c>
      <c r="F89" s="631">
        <v>110</v>
      </c>
      <c r="G89" s="607">
        <v>0.6</v>
      </c>
      <c r="H89" s="614">
        <v>1.75</v>
      </c>
      <c r="I89" s="615">
        <v>1</v>
      </c>
      <c r="J89" s="614">
        <v>1.5</v>
      </c>
      <c r="K89" s="617">
        <f t="shared" si="23"/>
        <v>165</v>
      </c>
      <c r="L89" s="618"/>
      <c r="M89" s="618">
        <f t="shared" si="24"/>
        <v>165</v>
      </c>
      <c r="N89" s="607"/>
      <c r="O89" s="607"/>
      <c r="P89" s="618">
        <f t="shared" si="25"/>
        <v>99</v>
      </c>
      <c r="Q89" s="607"/>
      <c r="R89" s="607"/>
      <c r="S89" s="390"/>
      <c r="T89" s="390"/>
      <c r="U89" s="390">
        <f t="shared" ref="U89:U94" si="27">3*F89/10000</f>
        <v>3.3000000000000002E-2</v>
      </c>
      <c r="V89" s="390">
        <f t="shared" ref="V89:V94" si="28">3*F89/10000</f>
        <v>3.3000000000000002E-2</v>
      </c>
      <c r="W89" s="607"/>
      <c r="X89" s="390">
        <f t="shared" si="26"/>
        <v>6.6000000000000003E-2</v>
      </c>
      <c r="Y89" s="607"/>
      <c r="Z89" s="607"/>
      <c r="AA89" s="607"/>
      <c r="AB89" s="607"/>
      <c r="AC89" s="607"/>
      <c r="AD89" s="621"/>
    </row>
    <row r="90" spans="1:30" s="348" customFormat="1">
      <c r="A90" s="845">
        <v>8</v>
      </c>
      <c r="B90" s="881">
        <v>907</v>
      </c>
      <c r="C90" s="864" t="s">
        <v>444</v>
      </c>
      <c r="D90" s="360" t="s">
        <v>433</v>
      </c>
      <c r="E90" s="961" t="s">
        <v>873</v>
      </c>
      <c r="F90" s="631">
        <v>62</v>
      </c>
      <c r="G90" s="607">
        <v>0.6</v>
      </c>
      <c r="H90" s="614">
        <v>1.75</v>
      </c>
      <c r="I90" s="615">
        <v>1</v>
      </c>
      <c r="J90" s="614">
        <v>1.2</v>
      </c>
      <c r="K90" s="617">
        <f t="shared" si="23"/>
        <v>74.399999999999991</v>
      </c>
      <c r="L90" s="618"/>
      <c r="M90" s="618">
        <f t="shared" si="24"/>
        <v>74.399999999999991</v>
      </c>
      <c r="N90" s="607"/>
      <c r="O90" s="607"/>
      <c r="P90" s="618">
        <f t="shared" si="25"/>
        <v>44.639999999999993</v>
      </c>
      <c r="Q90" s="607"/>
      <c r="R90" s="607"/>
      <c r="S90" s="390"/>
      <c r="T90" s="390"/>
      <c r="U90" s="390">
        <f t="shared" si="27"/>
        <v>1.8599999999999998E-2</v>
      </c>
      <c r="V90" s="390">
        <f t="shared" si="28"/>
        <v>1.8599999999999998E-2</v>
      </c>
      <c r="W90" s="607"/>
      <c r="X90" s="390">
        <f t="shared" si="26"/>
        <v>3.7199999999999997E-2</v>
      </c>
      <c r="Y90" s="607"/>
      <c r="Z90" s="607"/>
      <c r="AA90" s="607"/>
      <c r="AB90" s="607"/>
      <c r="AC90" s="607"/>
      <c r="AD90" s="621"/>
    </row>
    <row r="91" spans="1:30" s="348" customFormat="1">
      <c r="A91" s="845">
        <v>9</v>
      </c>
      <c r="B91" s="881">
        <v>908</v>
      </c>
      <c r="C91" s="864" t="s">
        <v>444</v>
      </c>
      <c r="D91" s="360" t="s">
        <v>720</v>
      </c>
      <c r="E91" s="859" t="s">
        <v>251</v>
      </c>
      <c r="F91" s="631">
        <v>97</v>
      </c>
      <c r="G91" s="607">
        <v>0.6</v>
      </c>
      <c r="H91" s="614">
        <v>1.75</v>
      </c>
      <c r="I91" s="615">
        <v>1</v>
      </c>
      <c r="J91" s="614">
        <v>1.5</v>
      </c>
      <c r="K91" s="617">
        <f t="shared" si="23"/>
        <v>145.5</v>
      </c>
      <c r="L91" s="618"/>
      <c r="M91" s="618">
        <f t="shared" si="24"/>
        <v>145.5</v>
      </c>
      <c r="N91" s="607"/>
      <c r="O91" s="607"/>
      <c r="P91" s="618">
        <f t="shared" si="25"/>
        <v>87.3</v>
      </c>
      <c r="Q91" s="607"/>
      <c r="R91" s="607"/>
      <c r="S91" s="390"/>
      <c r="T91" s="390"/>
      <c r="U91" s="390">
        <f t="shared" si="27"/>
        <v>2.9100000000000001E-2</v>
      </c>
      <c r="V91" s="390">
        <f t="shared" si="28"/>
        <v>2.9100000000000001E-2</v>
      </c>
      <c r="W91" s="607"/>
      <c r="X91" s="390">
        <f t="shared" si="26"/>
        <v>5.8200000000000002E-2</v>
      </c>
      <c r="Y91" s="607"/>
      <c r="Z91" s="607"/>
      <c r="AA91" s="607"/>
      <c r="AB91" s="607"/>
      <c r="AC91" s="607"/>
      <c r="AD91" s="621"/>
    </row>
    <row r="92" spans="1:30" s="348" customFormat="1">
      <c r="A92" s="845">
        <v>10</v>
      </c>
      <c r="B92" s="881">
        <v>909</v>
      </c>
      <c r="C92" s="864" t="s">
        <v>444</v>
      </c>
      <c r="D92" s="360" t="s">
        <v>720</v>
      </c>
      <c r="E92" s="859" t="s">
        <v>251</v>
      </c>
      <c r="F92" s="631">
        <v>108</v>
      </c>
      <c r="G92" s="607">
        <v>0.6</v>
      </c>
      <c r="H92" s="614">
        <v>1.75</v>
      </c>
      <c r="I92" s="615">
        <v>1</v>
      </c>
      <c r="J92" s="614">
        <v>1.5</v>
      </c>
      <c r="K92" s="617">
        <f t="shared" si="23"/>
        <v>162</v>
      </c>
      <c r="L92" s="618"/>
      <c r="M92" s="618">
        <f t="shared" si="24"/>
        <v>162</v>
      </c>
      <c r="N92" s="607"/>
      <c r="O92" s="607"/>
      <c r="P92" s="618">
        <f t="shared" si="25"/>
        <v>97.2</v>
      </c>
      <c r="Q92" s="607"/>
      <c r="R92" s="607"/>
      <c r="S92" s="390"/>
      <c r="T92" s="390"/>
      <c r="U92" s="390">
        <f t="shared" si="27"/>
        <v>3.2399999999999998E-2</v>
      </c>
      <c r="V92" s="390">
        <f t="shared" si="28"/>
        <v>3.2399999999999998E-2</v>
      </c>
      <c r="W92" s="607"/>
      <c r="X92" s="390">
        <f t="shared" si="26"/>
        <v>6.4799999999999996E-2</v>
      </c>
      <c r="Y92" s="607"/>
      <c r="Z92" s="607"/>
      <c r="AA92" s="607"/>
      <c r="AB92" s="607"/>
      <c r="AC92" s="607"/>
      <c r="AD92" s="621"/>
    </row>
    <row r="93" spans="1:30" s="348" customFormat="1">
      <c r="A93" s="845">
        <v>11</v>
      </c>
      <c r="B93" s="881">
        <v>910</v>
      </c>
      <c r="C93" s="864" t="s">
        <v>444</v>
      </c>
      <c r="D93" s="360" t="s">
        <v>720</v>
      </c>
      <c r="E93" s="859" t="s">
        <v>251</v>
      </c>
      <c r="F93" s="631">
        <v>288</v>
      </c>
      <c r="G93" s="607">
        <v>0.6</v>
      </c>
      <c r="H93" s="614">
        <v>1.75</v>
      </c>
      <c r="I93" s="615">
        <v>1</v>
      </c>
      <c r="J93" s="614">
        <v>1.4</v>
      </c>
      <c r="K93" s="617">
        <f t="shared" si="23"/>
        <v>403.2</v>
      </c>
      <c r="L93" s="618"/>
      <c r="M93" s="618">
        <f t="shared" si="24"/>
        <v>403.2</v>
      </c>
      <c r="N93" s="607"/>
      <c r="O93" s="607"/>
      <c r="P93" s="618">
        <f t="shared" si="25"/>
        <v>241.92</v>
      </c>
      <c r="Q93" s="607"/>
      <c r="R93" s="607"/>
      <c r="S93" s="390"/>
      <c r="T93" s="390"/>
      <c r="U93" s="390">
        <f t="shared" si="27"/>
        <v>8.6400000000000005E-2</v>
      </c>
      <c r="V93" s="390">
        <f t="shared" si="28"/>
        <v>8.6400000000000005E-2</v>
      </c>
      <c r="W93" s="607"/>
      <c r="X93" s="390">
        <f t="shared" si="26"/>
        <v>0.17280000000000001</v>
      </c>
      <c r="Y93" s="607"/>
      <c r="Z93" s="607"/>
      <c r="AA93" s="607"/>
      <c r="AB93" s="607"/>
      <c r="AC93" s="607"/>
      <c r="AD93" s="621"/>
    </row>
    <row r="94" spans="1:30" s="348" customFormat="1" ht="25.5">
      <c r="A94" s="845">
        <v>12</v>
      </c>
      <c r="B94" s="881">
        <v>911</v>
      </c>
      <c r="C94" s="864" t="s">
        <v>444</v>
      </c>
      <c r="D94" s="672" t="s">
        <v>722</v>
      </c>
      <c r="E94" s="961" t="s">
        <v>873</v>
      </c>
      <c r="F94" s="631">
        <v>230</v>
      </c>
      <c r="G94" s="607">
        <v>0.6</v>
      </c>
      <c r="H94" s="614">
        <v>1.75</v>
      </c>
      <c r="I94" s="615">
        <v>1</v>
      </c>
      <c r="J94" s="614">
        <v>1.2</v>
      </c>
      <c r="K94" s="617">
        <f t="shared" si="23"/>
        <v>276</v>
      </c>
      <c r="L94" s="618"/>
      <c r="M94" s="618">
        <f t="shared" si="24"/>
        <v>276</v>
      </c>
      <c r="N94" s="607"/>
      <c r="O94" s="607"/>
      <c r="P94" s="618">
        <f t="shared" si="25"/>
        <v>165.6</v>
      </c>
      <c r="Q94" s="607"/>
      <c r="R94" s="607"/>
      <c r="S94" s="390"/>
      <c r="T94" s="390"/>
      <c r="U94" s="390">
        <f t="shared" si="27"/>
        <v>6.9000000000000006E-2</v>
      </c>
      <c r="V94" s="390">
        <f t="shared" si="28"/>
        <v>6.9000000000000006E-2</v>
      </c>
      <c r="W94" s="607"/>
      <c r="X94" s="390">
        <f t="shared" si="26"/>
        <v>0.13800000000000001</v>
      </c>
      <c r="Y94" s="607"/>
      <c r="Z94" s="607"/>
      <c r="AA94" s="607"/>
      <c r="AB94" s="607"/>
      <c r="AC94" s="607"/>
      <c r="AD94" s="621"/>
    </row>
    <row r="95" spans="1:30" s="348" customFormat="1">
      <c r="A95" s="845">
        <v>13</v>
      </c>
      <c r="B95" s="881">
        <v>912</v>
      </c>
      <c r="C95" s="864" t="s">
        <v>444</v>
      </c>
      <c r="D95" s="360" t="s">
        <v>723</v>
      </c>
      <c r="E95" s="965" t="s">
        <v>875</v>
      </c>
      <c r="F95" s="631">
        <v>417</v>
      </c>
      <c r="G95" s="607">
        <v>0.6</v>
      </c>
      <c r="H95" s="614">
        <v>1.75</v>
      </c>
      <c r="I95" s="615">
        <v>1</v>
      </c>
      <c r="J95" s="916">
        <v>0.5</v>
      </c>
      <c r="K95" s="617">
        <f t="shared" si="23"/>
        <v>208.5</v>
      </c>
      <c r="L95" s="618"/>
      <c r="M95" s="618">
        <f t="shared" si="24"/>
        <v>208.5</v>
      </c>
      <c r="N95" s="607"/>
      <c r="O95" s="607"/>
      <c r="P95" s="618">
        <f t="shared" si="25"/>
        <v>125.1</v>
      </c>
      <c r="Q95" s="607"/>
      <c r="R95" s="607"/>
      <c r="S95" s="390"/>
      <c r="T95" s="390">
        <f>F95*4/10000</f>
        <v>0.1668</v>
      </c>
      <c r="U95" s="390"/>
      <c r="V95" s="390">
        <f>F95*2/10000</f>
        <v>8.3400000000000002E-2</v>
      </c>
      <c r="W95" s="607"/>
      <c r="X95" s="390">
        <f t="shared" si="26"/>
        <v>0.25019999999999998</v>
      </c>
      <c r="Y95" s="607"/>
      <c r="Z95" s="607"/>
      <c r="AA95" s="607"/>
      <c r="AB95" s="607">
        <v>4</v>
      </c>
      <c r="AC95" s="607"/>
      <c r="AD95" s="621"/>
    </row>
    <row r="96" spans="1:30" s="348" customFormat="1">
      <c r="A96" s="845">
        <v>14</v>
      </c>
      <c r="B96" s="881">
        <v>913</v>
      </c>
      <c r="C96" s="864" t="s">
        <v>444</v>
      </c>
      <c r="D96" s="360" t="s">
        <v>723</v>
      </c>
      <c r="E96" s="965" t="s">
        <v>875</v>
      </c>
      <c r="F96" s="631">
        <v>82</v>
      </c>
      <c r="G96" s="607">
        <v>0.6</v>
      </c>
      <c r="H96" s="614">
        <v>1.75</v>
      </c>
      <c r="I96" s="615">
        <v>1</v>
      </c>
      <c r="J96" s="916">
        <v>0.5</v>
      </c>
      <c r="K96" s="617">
        <f t="shared" si="23"/>
        <v>41</v>
      </c>
      <c r="L96" s="618"/>
      <c r="M96" s="618">
        <f t="shared" si="24"/>
        <v>41</v>
      </c>
      <c r="N96" s="607"/>
      <c r="O96" s="607"/>
      <c r="P96" s="618">
        <f t="shared" si="25"/>
        <v>24.599999999999998</v>
      </c>
      <c r="Q96" s="607"/>
      <c r="R96" s="607"/>
      <c r="S96" s="390"/>
      <c r="T96" s="390">
        <f>F96*4/10000</f>
        <v>3.2800000000000003E-2</v>
      </c>
      <c r="U96" s="390"/>
      <c r="V96" s="390">
        <f>2*F96/10000</f>
        <v>1.6400000000000001E-2</v>
      </c>
      <c r="W96" s="607"/>
      <c r="X96" s="390">
        <f t="shared" si="26"/>
        <v>4.9200000000000008E-2</v>
      </c>
      <c r="Y96" s="607"/>
      <c r="Z96" s="607"/>
      <c r="AA96" s="607"/>
      <c r="AB96" s="607"/>
      <c r="AC96" s="607"/>
      <c r="AD96" s="621"/>
    </row>
    <row r="97" spans="1:30" s="348" customFormat="1">
      <c r="A97" s="845">
        <v>15</v>
      </c>
      <c r="B97" s="881">
        <v>914</v>
      </c>
      <c r="C97" s="864" t="s">
        <v>444</v>
      </c>
      <c r="D97" s="360" t="s">
        <v>723</v>
      </c>
      <c r="E97" s="965" t="s">
        <v>875</v>
      </c>
      <c r="F97" s="631">
        <v>165</v>
      </c>
      <c r="G97" s="607">
        <v>0.6</v>
      </c>
      <c r="H97" s="614">
        <v>1.75</v>
      </c>
      <c r="I97" s="615">
        <v>1</v>
      </c>
      <c r="J97" s="916">
        <v>0.5</v>
      </c>
      <c r="K97" s="617">
        <f t="shared" si="23"/>
        <v>82.5</v>
      </c>
      <c r="L97" s="618"/>
      <c r="M97" s="618">
        <f t="shared" si="24"/>
        <v>82.5</v>
      </c>
      <c r="N97" s="607"/>
      <c r="O97" s="607"/>
      <c r="P97" s="618">
        <f t="shared" si="25"/>
        <v>49.5</v>
      </c>
      <c r="Q97" s="607"/>
      <c r="R97" s="607"/>
      <c r="S97" s="390"/>
      <c r="T97" s="390">
        <f>F97*4/10000</f>
        <v>6.6000000000000003E-2</v>
      </c>
      <c r="U97" s="390"/>
      <c r="V97" s="390">
        <f>F97*2/10000</f>
        <v>3.3000000000000002E-2</v>
      </c>
      <c r="W97" s="607"/>
      <c r="X97" s="390">
        <f t="shared" si="26"/>
        <v>9.9000000000000005E-2</v>
      </c>
      <c r="Y97" s="607"/>
      <c r="Z97" s="607"/>
      <c r="AA97" s="607"/>
      <c r="AB97" s="607"/>
      <c r="AC97" s="607"/>
      <c r="AD97" s="621"/>
    </row>
    <row r="98" spans="1:30" s="348" customFormat="1">
      <c r="A98" s="845">
        <v>16</v>
      </c>
      <c r="B98" s="881">
        <v>915</v>
      </c>
      <c r="C98" s="864" t="s">
        <v>444</v>
      </c>
      <c r="D98" s="360" t="s">
        <v>723</v>
      </c>
      <c r="E98" s="965" t="s">
        <v>875</v>
      </c>
      <c r="F98" s="631">
        <v>179</v>
      </c>
      <c r="G98" s="607">
        <v>0.6</v>
      </c>
      <c r="H98" s="614">
        <v>1.75</v>
      </c>
      <c r="I98" s="615">
        <v>1</v>
      </c>
      <c r="J98" s="916">
        <v>0.5</v>
      </c>
      <c r="K98" s="617">
        <f t="shared" si="23"/>
        <v>89.5</v>
      </c>
      <c r="L98" s="618"/>
      <c r="M98" s="618">
        <f t="shared" si="24"/>
        <v>89.5</v>
      </c>
      <c r="N98" s="607"/>
      <c r="O98" s="607"/>
      <c r="P98" s="618">
        <f t="shared" si="25"/>
        <v>53.699999999999996</v>
      </c>
      <c r="Q98" s="607"/>
      <c r="R98" s="607"/>
      <c r="S98" s="390"/>
      <c r="T98" s="390">
        <f>F98*4/10000</f>
        <v>7.1599999999999997E-2</v>
      </c>
      <c r="U98" s="390"/>
      <c r="V98" s="390">
        <f>F98*2/10000</f>
        <v>3.5799999999999998E-2</v>
      </c>
      <c r="W98" s="607"/>
      <c r="X98" s="390">
        <f t="shared" si="26"/>
        <v>0.1074</v>
      </c>
      <c r="Y98" s="607"/>
      <c r="Z98" s="607"/>
      <c r="AA98" s="607"/>
      <c r="AB98" s="607"/>
      <c r="AC98" s="607"/>
      <c r="AD98" s="621"/>
    </row>
    <row r="99" spans="1:30" s="348" customFormat="1">
      <c r="A99" s="845">
        <v>17</v>
      </c>
      <c r="B99" s="881">
        <v>916</v>
      </c>
      <c r="C99" s="864" t="s">
        <v>444</v>
      </c>
      <c r="D99" s="360" t="s">
        <v>723</v>
      </c>
      <c r="E99" s="859" t="s">
        <v>251</v>
      </c>
      <c r="F99" s="631">
        <v>316</v>
      </c>
      <c r="G99" s="607">
        <v>0.6</v>
      </c>
      <c r="H99" s="614">
        <v>1.75</v>
      </c>
      <c r="I99" s="615">
        <v>1</v>
      </c>
      <c r="J99" s="614">
        <v>1.5</v>
      </c>
      <c r="K99" s="617">
        <f t="shared" si="23"/>
        <v>474</v>
      </c>
      <c r="L99" s="618"/>
      <c r="M99" s="618">
        <f t="shared" si="24"/>
        <v>474</v>
      </c>
      <c r="N99" s="607"/>
      <c r="O99" s="607"/>
      <c r="P99" s="618">
        <f t="shared" si="25"/>
        <v>284.39999999999998</v>
      </c>
      <c r="Q99" s="607"/>
      <c r="R99" s="607"/>
      <c r="S99" s="390"/>
      <c r="T99" s="390">
        <f>F99*6/10000</f>
        <v>0.18959999999999999</v>
      </c>
      <c r="U99" s="390"/>
      <c r="V99" s="390"/>
      <c r="W99" s="607"/>
      <c r="X99" s="390">
        <f t="shared" si="26"/>
        <v>0.18959999999999999</v>
      </c>
      <c r="Y99" s="607"/>
      <c r="Z99" s="607"/>
      <c r="AA99" s="607"/>
      <c r="AB99" s="607">
        <v>4</v>
      </c>
      <c r="AC99" s="607"/>
      <c r="AD99" s="621"/>
    </row>
    <row r="100" spans="1:30" s="348" customFormat="1">
      <c r="A100" s="845">
        <v>18</v>
      </c>
      <c r="B100" s="881">
        <v>917</v>
      </c>
      <c r="C100" s="864" t="s">
        <v>444</v>
      </c>
      <c r="D100" s="360" t="s">
        <v>724</v>
      </c>
      <c r="E100" s="859" t="s">
        <v>251</v>
      </c>
      <c r="F100" s="631">
        <v>94</v>
      </c>
      <c r="G100" s="607">
        <v>0.6</v>
      </c>
      <c r="H100" s="614">
        <v>1.75</v>
      </c>
      <c r="I100" s="615">
        <v>1</v>
      </c>
      <c r="J100" s="614">
        <v>1.5</v>
      </c>
      <c r="K100" s="617">
        <f t="shared" si="23"/>
        <v>141</v>
      </c>
      <c r="L100" s="618"/>
      <c r="M100" s="618">
        <f t="shared" si="24"/>
        <v>141</v>
      </c>
      <c r="N100" s="607"/>
      <c r="O100" s="607"/>
      <c r="P100" s="618">
        <f t="shared" si="25"/>
        <v>84.6</v>
      </c>
      <c r="Q100" s="607"/>
      <c r="R100" s="607"/>
      <c r="S100" s="390"/>
      <c r="T100" s="390">
        <f t="shared" ref="T100:T107" si="29">4*F100/10000</f>
        <v>3.7600000000000001E-2</v>
      </c>
      <c r="U100" s="390"/>
      <c r="V100" s="390">
        <f t="shared" ref="V100:V108" si="30">2*F100/10000</f>
        <v>1.8800000000000001E-2</v>
      </c>
      <c r="W100" s="607"/>
      <c r="X100" s="390">
        <f t="shared" si="26"/>
        <v>5.6400000000000006E-2</v>
      </c>
      <c r="Y100" s="607"/>
      <c r="Z100" s="607"/>
      <c r="AA100" s="607"/>
      <c r="AB100" s="607"/>
      <c r="AC100" s="607"/>
      <c r="AD100" s="621"/>
    </row>
    <row r="101" spans="1:30" s="348" customFormat="1">
      <c r="A101" s="845" t="s">
        <v>443</v>
      </c>
      <c r="B101" s="881">
        <v>918</v>
      </c>
      <c r="C101" s="864" t="s">
        <v>444</v>
      </c>
      <c r="D101" s="360" t="s">
        <v>724</v>
      </c>
      <c r="E101" s="859" t="s">
        <v>251</v>
      </c>
      <c r="F101" s="631">
        <v>91</v>
      </c>
      <c r="G101" s="607">
        <v>0.6</v>
      </c>
      <c r="H101" s="614">
        <v>1.75</v>
      </c>
      <c r="I101" s="615">
        <v>1</v>
      </c>
      <c r="J101" s="614">
        <v>1.5</v>
      </c>
      <c r="K101" s="617">
        <f t="shared" si="23"/>
        <v>136.5</v>
      </c>
      <c r="L101" s="618"/>
      <c r="M101" s="618">
        <f t="shared" si="24"/>
        <v>136.5</v>
      </c>
      <c r="N101" s="607"/>
      <c r="O101" s="607"/>
      <c r="P101" s="618">
        <f t="shared" si="25"/>
        <v>81.899999999999991</v>
      </c>
      <c r="Q101" s="607"/>
      <c r="R101" s="607"/>
      <c r="S101" s="390"/>
      <c r="T101" s="390">
        <f t="shared" si="29"/>
        <v>3.6400000000000002E-2</v>
      </c>
      <c r="U101" s="390"/>
      <c r="V101" s="390">
        <f t="shared" si="30"/>
        <v>1.8200000000000001E-2</v>
      </c>
      <c r="W101" s="607"/>
      <c r="X101" s="390">
        <f t="shared" si="26"/>
        <v>5.4600000000000003E-2</v>
      </c>
      <c r="Y101" s="607"/>
      <c r="Z101" s="607"/>
      <c r="AA101" s="607"/>
      <c r="AB101" s="607"/>
      <c r="AC101" s="607"/>
      <c r="AD101" s="621"/>
    </row>
    <row r="102" spans="1:30" s="348" customFormat="1">
      <c r="A102" s="845">
        <v>20</v>
      </c>
      <c r="B102" s="881">
        <v>919</v>
      </c>
      <c r="C102" s="864" t="s">
        <v>444</v>
      </c>
      <c r="D102" s="360" t="s">
        <v>724</v>
      </c>
      <c r="E102" s="859" t="s">
        <v>251</v>
      </c>
      <c r="F102" s="631">
        <v>89</v>
      </c>
      <c r="G102" s="607">
        <v>0.6</v>
      </c>
      <c r="H102" s="614">
        <v>1.75</v>
      </c>
      <c r="I102" s="615">
        <v>1</v>
      </c>
      <c r="J102" s="614">
        <v>1.5</v>
      </c>
      <c r="K102" s="617">
        <f t="shared" si="23"/>
        <v>133.5</v>
      </c>
      <c r="L102" s="618"/>
      <c r="M102" s="618">
        <f t="shared" si="24"/>
        <v>133.5</v>
      </c>
      <c r="N102" s="607"/>
      <c r="O102" s="607"/>
      <c r="P102" s="618">
        <f t="shared" si="25"/>
        <v>80.099999999999994</v>
      </c>
      <c r="Q102" s="607"/>
      <c r="R102" s="607"/>
      <c r="S102" s="390"/>
      <c r="T102" s="390">
        <f t="shared" si="29"/>
        <v>3.56E-2</v>
      </c>
      <c r="U102" s="390"/>
      <c r="V102" s="390">
        <f t="shared" si="30"/>
        <v>1.78E-2</v>
      </c>
      <c r="W102" s="607"/>
      <c r="X102" s="390">
        <f t="shared" si="26"/>
        <v>5.3400000000000003E-2</v>
      </c>
      <c r="Y102" s="607"/>
      <c r="Z102" s="607"/>
      <c r="AA102" s="607"/>
      <c r="AB102" s="607"/>
      <c r="AC102" s="607"/>
      <c r="AD102" s="621"/>
    </row>
    <row r="103" spans="1:30" s="348" customFormat="1">
      <c r="A103" s="845">
        <v>21</v>
      </c>
      <c r="B103" s="881">
        <v>920</v>
      </c>
      <c r="C103" s="864" t="s">
        <v>444</v>
      </c>
      <c r="D103" s="360" t="s">
        <v>724</v>
      </c>
      <c r="E103" s="859" t="s">
        <v>251</v>
      </c>
      <c r="F103" s="631">
        <v>90</v>
      </c>
      <c r="G103" s="607">
        <v>0.6</v>
      </c>
      <c r="H103" s="614">
        <v>1.75</v>
      </c>
      <c r="I103" s="615">
        <v>1</v>
      </c>
      <c r="J103" s="614">
        <v>1.5</v>
      </c>
      <c r="K103" s="617">
        <f t="shared" si="23"/>
        <v>135</v>
      </c>
      <c r="L103" s="618"/>
      <c r="M103" s="618">
        <f t="shared" si="24"/>
        <v>135</v>
      </c>
      <c r="N103" s="607"/>
      <c r="O103" s="607"/>
      <c r="P103" s="618">
        <f t="shared" si="25"/>
        <v>81</v>
      </c>
      <c r="Q103" s="607"/>
      <c r="R103" s="607"/>
      <c r="S103" s="390"/>
      <c r="T103" s="390">
        <f t="shared" si="29"/>
        <v>3.5999999999999997E-2</v>
      </c>
      <c r="U103" s="390"/>
      <c r="V103" s="390">
        <f t="shared" si="30"/>
        <v>1.7999999999999999E-2</v>
      </c>
      <c r="W103" s="607"/>
      <c r="X103" s="390">
        <f t="shared" si="26"/>
        <v>5.3999999999999992E-2</v>
      </c>
      <c r="Y103" s="607"/>
      <c r="Z103" s="607"/>
      <c r="AA103" s="607"/>
      <c r="AB103" s="607"/>
      <c r="AC103" s="607"/>
      <c r="AD103" s="621"/>
    </row>
    <row r="104" spans="1:30" s="348" customFormat="1">
      <c r="A104" s="845">
        <v>22</v>
      </c>
      <c r="B104" s="881">
        <v>921</v>
      </c>
      <c r="C104" s="864" t="s">
        <v>444</v>
      </c>
      <c r="D104" s="360" t="s">
        <v>724</v>
      </c>
      <c r="E104" s="859" t="s">
        <v>251</v>
      </c>
      <c r="F104" s="631">
        <v>80</v>
      </c>
      <c r="G104" s="607">
        <v>0.6</v>
      </c>
      <c r="H104" s="614">
        <v>1.75</v>
      </c>
      <c r="I104" s="615">
        <v>1</v>
      </c>
      <c r="J104" s="614">
        <v>1.5</v>
      </c>
      <c r="K104" s="617">
        <f t="shared" si="23"/>
        <v>120</v>
      </c>
      <c r="L104" s="618"/>
      <c r="M104" s="618">
        <f t="shared" si="24"/>
        <v>120</v>
      </c>
      <c r="N104" s="607"/>
      <c r="O104" s="607"/>
      <c r="P104" s="618">
        <f t="shared" si="25"/>
        <v>72</v>
      </c>
      <c r="Q104" s="607"/>
      <c r="R104" s="607"/>
      <c r="S104" s="390"/>
      <c r="T104" s="390">
        <f t="shared" si="29"/>
        <v>3.2000000000000001E-2</v>
      </c>
      <c r="U104" s="390"/>
      <c r="V104" s="390">
        <f t="shared" si="30"/>
        <v>1.6E-2</v>
      </c>
      <c r="W104" s="607"/>
      <c r="X104" s="390">
        <f t="shared" si="26"/>
        <v>4.8000000000000001E-2</v>
      </c>
      <c r="Y104" s="607"/>
      <c r="Z104" s="607"/>
      <c r="AA104" s="607"/>
      <c r="AB104" s="607"/>
      <c r="AC104" s="607"/>
      <c r="AD104" s="621"/>
    </row>
    <row r="105" spans="1:30" s="348" customFormat="1">
      <c r="A105" s="845">
        <v>23</v>
      </c>
      <c r="B105" s="881">
        <v>922</v>
      </c>
      <c r="C105" s="864" t="s">
        <v>444</v>
      </c>
      <c r="D105" s="360" t="s">
        <v>708</v>
      </c>
      <c r="E105" s="859" t="s">
        <v>251</v>
      </c>
      <c r="F105" s="631">
        <v>389</v>
      </c>
      <c r="G105" s="607">
        <v>0.6</v>
      </c>
      <c r="H105" s="614">
        <v>1.75</v>
      </c>
      <c r="I105" s="615">
        <v>1</v>
      </c>
      <c r="J105" s="614">
        <v>1.6</v>
      </c>
      <c r="K105" s="617">
        <f t="shared" si="23"/>
        <v>622.40000000000009</v>
      </c>
      <c r="L105" s="618"/>
      <c r="M105" s="618">
        <f t="shared" si="24"/>
        <v>622.40000000000009</v>
      </c>
      <c r="N105" s="607"/>
      <c r="O105" s="607"/>
      <c r="P105" s="618">
        <f t="shared" si="25"/>
        <v>373.44000000000005</v>
      </c>
      <c r="Q105" s="607"/>
      <c r="R105" s="607"/>
      <c r="S105" s="390"/>
      <c r="T105" s="390">
        <f t="shared" si="29"/>
        <v>0.15559999999999999</v>
      </c>
      <c r="U105" s="390"/>
      <c r="V105" s="390">
        <f t="shared" si="30"/>
        <v>7.7799999999999994E-2</v>
      </c>
      <c r="W105" s="607"/>
      <c r="X105" s="390">
        <f t="shared" si="26"/>
        <v>0.2334</v>
      </c>
      <c r="Y105" s="607"/>
      <c r="Z105" s="607"/>
      <c r="AA105" s="607"/>
      <c r="AB105" s="607">
        <v>4</v>
      </c>
      <c r="AC105" s="607"/>
      <c r="AD105" s="621"/>
    </row>
    <row r="106" spans="1:30" s="348" customFormat="1">
      <c r="A106" s="845">
        <v>24</v>
      </c>
      <c r="B106" s="881">
        <v>923</v>
      </c>
      <c r="C106" s="864" t="s">
        <v>444</v>
      </c>
      <c r="D106" s="360" t="s">
        <v>721</v>
      </c>
      <c r="E106" s="961" t="s">
        <v>873</v>
      </c>
      <c r="F106" s="631">
        <v>88</v>
      </c>
      <c r="G106" s="607">
        <v>0.6</v>
      </c>
      <c r="H106" s="614">
        <v>1.75</v>
      </c>
      <c r="I106" s="615">
        <v>1</v>
      </c>
      <c r="J106" s="614">
        <v>1.2</v>
      </c>
      <c r="K106" s="617">
        <f t="shared" si="23"/>
        <v>105.6</v>
      </c>
      <c r="L106" s="618"/>
      <c r="M106" s="618">
        <f t="shared" si="24"/>
        <v>105.6</v>
      </c>
      <c r="N106" s="607"/>
      <c r="O106" s="607"/>
      <c r="P106" s="618">
        <f t="shared" si="25"/>
        <v>63.359999999999992</v>
      </c>
      <c r="Q106" s="607"/>
      <c r="R106" s="607"/>
      <c r="S106" s="390"/>
      <c r="T106" s="390">
        <f t="shared" si="29"/>
        <v>3.5200000000000002E-2</v>
      </c>
      <c r="U106" s="390"/>
      <c r="V106" s="390">
        <f t="shared" si="30"/>
        <v>1.7600000000000001E-2</v>
      </c>
      <c r="W106" s="607"/>
      <c r="X106" s="390">
        <f t="shared" si="26"/>
        <v>5.28E-2</v>
      </c>
      <c r="Y106" s="607"/>
      <c r="Z106" s="607"/>
      <c r="AA106" s="607"/>
      <c r="AB106" s="607"/>
      <c r="AC106" s="607"/>
      <c r="AD106" s="621"/>
    </row>
    <row r="107" spans="1:30" s="348" customFormat="1">
      <c r="A107" s="845">
        <v>25</v>
      </c>
      <c r="B107" s="881">
        <v>924</v>
      </c>
      <c r="C107" s="864" t="s">
        <v>444</v>
      </c>
      <c r="D107" s="360" t="s">
        <v>721</v>
      </c>
      <c r="E107" s="859" t="s">
        <v>251</v>
      </c>
      <c r="F107" s="631">
        <v>282</v>
      </c>
      <c r="G107" s="607">
        <v>0.6</v>
      </c>
      <c r="H107" s="614">
        <v>1.75</v>
      </c>
      <c r="I107" s="615">
        <v>1</v>
      </c>
      <c r="J107" s="614">
        <v>1.5</v>
      </c>
      <c r="K107" s="617">
        <f t="shared" si="23"/>
        <v>423</v>
      </c>
      <c r="L107" s="618"/>
      <c r="M107" s="618">
        <f t="shared" si="24"/>
        <v>423</v>
      </c>
      <c r="N107" s="607"/>
      <c r="O107" s="607"/>
      <c r="P107" s="618">
        <f t="shared" si="25"/>
        <v>253.79999999999998</v>
      </c>
      <c r="Q107" s="607"/>
      <c r="R107" s="607"/>
      <c r="S107" s="390"/>
      <c r="T107" s="390">
        <f t="shared" si="29"/>
        <v>0.1128</v>
      </c>
      <c r="U107" s="390"/>
      <c r="V107" s="390">
        <f t="shared" si="30"/>
        <v>5.6399999999999999E-2</v>
      </c>
      <c r="W107" s="607"/>
      <c r="X107" s="390">
        <f t="shared" si="26"/>
        <v>0.16919999999999999</v>
      </c>
      <c r="Y107" s="607"/>
      <c r="Z107" s="607"/>
      <c r="AA107" s="607"/>
      <c r="AB107" s="607"/>
      <c r="AC107" s="607"/>
      <c r="AD107" s="621"/>
    </row>
    <row r="108" spans="1:30" s="348" customFormat="1">
      <c r="A108" s="845">
        <v>26</v>
      </c>
      <c r="B108" s="881">
        <v>925</v>
      </c>
      <c r="C108" s="864" t="s">
        <v>444</v>
      </c>
      <c r="D108" s="360" t="s">
        <v>706</v>
      </c>
      <c r="E108" s="961" t="s">
        <v>873</v>
      </c>
      <c r="F108" s="631">
        <v>270</v>
      </c>
      <c r="G108" s="607">
        <v>0.6</v>
      </c>
      <c r="H108" s="614">
        <v>1.75</v>
      </c>
      <c r="I108" s="615">
        <v>1</v>
      </c>
      <c r="J108" s="614">
        <v>1.2</v>
      </c>
      <c r="K108" s="617">
        <f t="shared" si="23"/>
        <v>324</v>
      </c>
      <c r="L108" s="618"/>
      <c r="M108" s="618">
        <f t="shared" si="24"/>
        <v>324</v>
      </c>
      <c r="N108" s="607"/>
      <c r="O108" s="607"/>
      <c r="P108" s="618">
        <f t="shared" si="25"/>
        <v>194.4</v>
      </c>
      <c r="Q108" s="607"/>
      <c r="R108" s="607"/>
      <c r="S108" s="390"/>
      <c r="T108" s="390">
        <f>3*F108/10000</f>
        <v>8.1000000000000003E-2</v>
      </c>
      <c r="U108" s="390"/>
      <c r="V108" s="390">
        <f t="shared" si="30"/>
        <v>5.3999999999999999E-2</v>
      </c>
      <c r="W108" s="607"/>
      <c r="X108" s="390">
        <f t="shared" si="26"/>
        <v>0.13500000000000001</v>
      </c>
      <c r="Y108" s="607"/>
      <c r="Z108" s="607"/>
      <c r="AA108" s="607"/>
      <c r="AB108" s="607"/>
      <c r="AC108" s="607"/>
      <c r="AD108" s="621"/>
    </row>
    <row r="109" spans="1:30" s="348" customFormat="1">
      <c r="A109" s="845">
        <v>27</v>
      </c>
      <c r="B109" s="881">
        <v>926</v>
      </c>
      <c r="C109" s="865" t="s">
        <v>444</v>
      </c>
      <c r="D109" s="698" t="s">
        <v>707</v>
      </c>
      <c r="E109" s="860" t="s">
        <v>251</v>
      </c>
      <c r="F109" s="631">
        <v>137</v>
      </c>
      <c r="G109" s="607">
        <v>0.6</v>
      </c>
      <c r="H109" s="614">
        <v>1.75</v>
      </c>
      <c r="I109" s="615">
        <v>1</v>
      </c>
      <c r="J109" s="614">
        <v>1.5</v>
      </c>
      <c r="K109" s="617">
        <f t="shared" si="23"/>
        <v>205.5</v>
      </c>
      <c r="L109" s="618"/>
      <c r="M109" s="618">
        <f t="shared" si="24"/>
        <v>205.5</v>
      </c>
      <c r="N109" s="607"/>
      <c r="O109" s="607"/>
      <c r="P109" s="618">
        <f t="shared" si="25"/>
        <v>123.3</v>
      </c>
      <c r="Q109" s="607"/>
      <c r="R109" s="607"/>
      <c r="S109" s="390"/>
      <c r="T109" s="390">
        <f>6*F109/10000</f>
        <v>8.2199999999999995E-2</v>
      </c>
      <c r="U109" s="390"/>
      <c r="V109" s="390"/>
      <c r="W109" s="607"/>
      <c r="X109" s="390">
        <f t="shared" si="26"/>
        <v>8.2199999999999995E-2</v>
      </c>
      <c r="Y109" s="607"/>
      <c r="Z109" s="607"/>
      <c r="AA109" s="607"/>
      <c r="AB109" s="607"/>
      <c r="AC109" s="607"/>
      <c r="AD109" s="621"/>
    </row>
    <row r="110" spans="1:30" s="348" customFormat="1">
      <c r="A110" s="845">
        <v>28</v>
      </c>
      <c r="B110" s="864" t="s">
        <v>551</v>
      </c>
      <c r="C110" s="864" t="s">
        <v>444</v>
      </c>
      <c r="D110" s="614" t="s">
        <v>709</v>
      </c>
      <c r="E110" s="864" t="s">
        <v>233</v>
      </c>
      <c r="F110" s="694">
        <v>78</v>
      </c>
      <c r="G110" s="607">
        <v>0.4</v>
      </c>
      <c r="H110" s="614">
        <v>1.75</v>
      </c>
      <c r="I110" s="614">
        <v>0.6</v>
      </c>
      <c r="J110" s="614">
        <v>0.91</v>
      </c>
      <c r="K110" s="617">
        <f t="shared" si="23"/>
        <v>70.98</v>
      </c>
      <c r="L110" s="618"/>
      <c r="M110" s="618">
        <f t="shared" si="24"/>
        <v>70.98</v>
      </c>
      <c r="N110" s="607"/>
      <c r="O110" s="607"/>
      <c r="P110" s="618">
        <v>22</v>
      </c>
      <c r="Q110" s="607"/>
      <c r="R110" s="618">
        <f>F110*0.45</f>
        <v>35.1</v>
      </c>
      <c r="S110" s="390"/>
      <c r="T110" s="390"/>
      <c r="U110" s="390">
        <f>F110*6/10000</f>
        <v>4.6800000000000001E-2</v>
      </c>
      <c r="V110" s="390"/>
      <c r="W110" s="607"/>
      <c r="X110" s="390">
        <f t="shared" si="26"/>
        <v>4.6800000000000001E-2</v>
      </c>
      <c r="Y110" s="607"/>
      <c r="Z110" s="607"/>
      <c r="AA110" s="607"/>
      <c r="AB110" s="607"/>
      <c r="AC110" s="607"/>
      <c r="AD110" s="621"/>
    </row>
    <row r="111" spans="1:30" s="348" customFormat="1">
      <c r="A111" s="845">
        <v>29</v>
      </c>
      <c r="B111" s="864" t="s">
        <v>552</v>
      </c>
      <c r="C111" s="864" t="s">
        <v>444</v>
      </c>
      <c r="D111" s="614" t="s">
        <v>709</v>
      </c>
      <c r="E111" s="864" t="s">
        <v>233</v>
      </c>
      <c r="F111" s="694">
        <v>328</v>
      </c>
      <c r="G111" s="607">
        <v>0.4</v>
      </c>
      <c r="H111" s="614">
        <v>1.75</v>
      </c>
      <c r="I111" s="614">
        <v>0.6</v>
      </c>
      <c r="J111" s="614">
        <v>0.88</v>
      </c>
      <c r="K111" s="617">
        <f t="shared" si="23"/>
        <v>288.64</v>
      </c>
      <c r="L111" s="618"/>
      <c r="M111" s="618">
        <f t="shared" si="24"/>
        <v>288.64</v>
      </c>
      <c r="N111" s="607"/>
      <c r="O111" s="607"/>
      <c r="P111" s="618">
        <v>87</v>
      </c>
      <c r="Q111" s="607"/>
      <c r="R111" s="618">
        <f>(F111*0.44)</f>
        <v>144.32</v>
      </c>
      <c r="S111" s="390"/>
      <c r="T111" s="390"/>
      <c r="U111" s="390">
        <f t="shared" ref="U111:U117" si="31">F111*6/10000</f>
        <v>0.1968</v>
      </c>
      <c r="V111" s="390"/>
      <c r="W111" s="607"/>
      <c r="X111" s="390">
        <f t="shared" si="26"/>
        <v>0.1968</v>
      </c>
      <c r="Y111" s="607"/>
      <c r="Z111" s="607"/>
      <c r="AA111" s="607"/>
      <c r="AB111" s="607">
        <v>4</v>
      </c>
      <c r="AC111" s="607"/>
      <c r="AD111" s="621"/>
    </row>
    <row r="112" spans="1:30" s="348" customFormat="1">
      <c r="A112" s="845">
        <v>30</v>
      </c>
      <c r="B112" s="864" t="s">
        <v>553</v>
      </c>
      <c r="C112" s="864" t="s">
        <v>444</v>
      </c>
      <c r="D112" s="614" t="s">
        <v>725</v>
      </c>
      <c r="E112" s="864" t="s">
        <v>233</v>
      </c>
      <c r="F112" s="694">
        <v>238</v>
      </c>
      <c r="G112" s="607">
        <v>0.4</v>
      </c>
      <c r="H112" s="614">
        <v>1.75</v>
      </c>
      <c r="I112" s="614">
        <v>0.6</v>
      </c>
      <c r="J112" s="614">
        <v>0.91</v>
      </c>
      <c r="K112" s="617">
        <f t="shared" si="23"/>
        <v>216.58</v>
      </c>
      <c r="L112" s="618"/>
      <c r="M112" s="618">
        <f t="shared" si="24"/>
        <v>216.58</v>
      </c>
      <c r="N112" s="607"/>
      <c r="O112" s="607"/>
      <c r="P112" s="618">
        <f>(0.37*F112)*0.6</f>
        <v>52.835999999999999</v>
      </c>
      <c r="Q112" s="607"/>
      <c r="R112" s="618">
        <f>0.54*F112</f>
        <v>128.52000000000001</v>
      </c>
      <c r="S112" s="390"/>
      <c r="T112" s="390"/>
      <c r="U112" s="390">
        <f t="shared" si="31"/>
        <v>0.14280000000000001</v>
      </c>
      <c r="V112" s="390"/>
      <c r="W112" s="607"/>
      <c r="X112" s="390">
        <f t="shared" si="26"/>
        <v>0.14280000000000001</v>
      </c>
      <c r="Y112" s="607"/>
      <c r="Z112" s="607"/>
      <c r="AA112" s="607"/>
      <c r="AB112" s="607"/>
      <c r="AC112" s="607"/>
      <c r="AD112" s="621"/>
    </row>
    <row r="113" spans="1:30" s="348" customFormat="1">
      <c r="A113" s="845">
        <v>31</v>
      </c>
      <c r="B113" s="864" t="s">
        <v>554</v>
      </c>
      <c r="C113" s="864" t="s">
        <v>444</v>
      </c>
      <c r="D113" s="614" t="s">
        <v>726</v>
      </c>
      <c r="E113" s="864" t="s">
        <v>233</v>
      </c>
      <c r="F113" s="694">
        <v>395</v>
      </c>
      <c r="G113" s="607">
        <v>0.4</v>
      </c>
      <c r="H113" s="614">
        <v>1.75</v>
      </c>
      <c r="I113" s="614">
        <v>0.6</v>
      </c>
      <c r="J113" s="614">
        <v>0.91</v>
      </c>
      <c r="K113" s="617">
        <f t="shared" si="23"/>
        <v>359.45</v>
      </c>
      <c r="L113" s="618"/>
      <c r="M113" s="618">
        <f t="shared" si="24"/>
        <v>359.45</v>
      </c>
      <c r="N113" s="607"/>
      <c r="O113" s="607"/>
      <c r="P113" s="618">
        <f>(0.45*F113)*0.6</f>
        <v>106.64999999999999</v>
      </c>
      <c r="Q113" s="607"/>
      <c r="R113" s="618">
        <f>0.46*F113</f>
        <v>181.70000000000002</v>
      </c>
      <c r="S113" s="390"/>
      <c r="T113" s="390"/>
      <c r="U113" s="390">
        <f t="shared" si="31"/>
        <v>0.23699999999999999</v>
      </c>
      <c r="V113" s="390"/>
      <c r="W113" s="607"/>
      <c r="X113" s="390">
        <f t="shared" si="26"/>
        <v>0.23699999999999999</v>
      </c>
      <c r="Y113" s="607"/>
      <c r="Z113" s="607"/>
      <c r="AA113" s="607"/>
      <c r="AB113" s="607">
        <v>4</v>
      </c>
      <c r="AC113" s="607"/>
      <c r="AD113" s="621"/>
    </row>
    <row r="114" spans="1:30" s="348" customFormat="1">
      <c r="A114" s="845">
        <v>32</v>
      </c>
      <c r="B114" s="864" t="s">
        <v>555</v>
      </c>
      <c r="C114" s="865" t="s">
        <v>444</v>
      </c>
      <c r="D114" s="614" t="s">
        <v>433</v>
      </c>
      <c r="E114" s="864" t="s">
        <v>233</v>
      </c>
      <c r="F114" s="694">
        <v>73</v>
      </c>
      <c r="G114" s="607">
        <v>0.4</v>
      </c>
      <c r="H114" s="614">
        <v>1.75</v>
      </c>
      <c r="I114" s="614">
        <v>0.6</v>
      </c>
      <c r="J114" s="614">
        <v>0.91</v>
      </c>
      <c r="K114" s="617">
        <f t="shared" si="23"/>
        <v>66.430000000000007</v>
      </c>
      <c r="L114" s="618"/>
      <c r="M114" s="618">
        <f t="shared" si="24"/>
        <v>66.430000000000007</v>
      </c>
      <c r="N114" s="607"/>
      <c r="O114" s="607"/>
      <c r="P114" s="618">
        <f>(0.43*F114)*0.6</f>
        <v>18.834</v>
      </c>
      <c r="Q114" s="607"/>
      <c r="R114" s="618">
        <f>0.48*F114</f>
        <v>35.04</v>
      </c>
      <c r="S114" s="390"/>
      <c r="T114" s="390"/>
      <c r="U114" s="390">
        <f t="shared" si="31"/>
        <v>4.3799999999999999E-2</v>
      </c>
      <c r="V114" s="390"/>
      <c r="W114" s="607"/>
      <c r="X114" s="390">
        <f t="shared" ref="X114:X129" si="32">SUM(S114:W114)</f>
        <v>4.3799999999999999E-2</v>
      </c>
      <c r="Y114" s="607"/>
      <c r="Z114" s="607"/>
      <c r="AA114" s="607"/>
      <c r="AB114" s="607"/>
      <c r="AC114" s="607"/>
      <c r="AD114" s="621"/>
    </row>
    <row r="115" spans="1:30" s="348" customFormat="1">
      <c r="A115" s="845">
        <v>33</v>
      </c>
      <c r="B115" s="864" t="s">
        <v>556</v>
      </c>
      <c r="C115" s="864" t="s">
        <v>444</v>
      </c>
      <c r="D115" s="614" t="s">
        <v>433</v>
      </c>
      <c r="E115" s="864" t="s">
        <v>233</v>
      </c>
      <c r="F115" s="694">
        <v>171</v>
      </c>
      <c r="G115" s="607">
        <v>0.4</v>
      </c>
      <c r="H115" s="614">
        <v>1.75</v>
      </c>
      <c r="I115" s="614">
        <v>0.6</v>
      </c>
      <c r="J115" s="614">
        <v>0.88</v>
      </c>
      <c r="K115" s="617">
        <f t="shared" si="23"/>
        <v>150.47999999999999</v>
      </c>
      <c r="L115" s="618"/>
      <c r="M115" s="618">
        <f t="shared" si="24"/>
        <v>150.47999999999999</v>
      </c>
      <c r="N115" s="607"/>
      <c r="O115" s="607"/>
      <c r="P115" s="618">
        <f>(0.34*F115)*0.6</f>
        <v>34.884</v>
      </c>
      <c r="Q115" s="607"/>
      <c r="R115" s="618">
        <f>0.54*F115</f>
        <v>92.34</v>
      </c>
      <c r="S115" s="390"/>
      <c r="T115" s="390"/>
      <c r="U115" s="390">
        <f t="shared" si="31"/>
        <v>0.1026</v>
      </c>
      <c r="V115" s="390"/>
      <c r="W115" s="607"/>
      <c r="X115" s="390">
        <f t="shared" si="32"/>
        <v>0.1026</v>
      </c>
      <c r="Y115" s="607"/>
      <c r="Z115" s="607"/>
      <c r="AA115" s="607"/>
      <c r="AB115" s="607"/>
      <c r="AC115" s="607"/>
      <c r="AD115" s="621"/>
    </row>
    <row r="116" spans="1:30" s="348" customFormat="1">
      <c r="A116" s="845">
        <v>34</v>
      </c>
      <c r="B116" s="864" t="s">
        <v>557</v>
      </c>
      <c r="C116" s="864" t="s">
        <v>444</v>
      </c>
      <c r="D116" s="614" t="s">
        <v>433</v>
      </c>
      <c r="E116" s="864" t="s">
        <v>233</v>
      </c>
      <c r="F116" s="694">
        <v>298</v>
      </c>
      <c r="G116" s="607">
        <v>0.4</v>
      </c>
      <c r="H116" s="614">
        <v>1.75</v>
      </c>
      <c r="I116" s="614">
        <v>0.6</v>
      </c>
      <c r="J116" s="614">
        <v>0.93</v>
      </c>
      <c r="K116" s="617">
        <f t="shared" si="23"/>
        <v>277.14</v>
      </c>
      <c r="L116" s="618"/>
      <c r="M116" s="618">
        <f t="shared" si="24"/>
        <v>277.14</v>
      </c>
      <c r="N116" s="607"/>
      <c r="O116" s="607"/>
      <c r="P116" s="618">
        <f>(0.43*F116)*0.6</f>
        <v>76.883999999999986</v>
      </c>
      <c r="Q116" s="607"/>
      <c r="R116" s="618">
        <f>0.55*F116</f>
        <v>163.9</v>
      </c>
      <c r="S116" s="390"/>
      <c r="T116" s="390"/>
      <c r="U116" s="390">
        <f t="shared" si="31"/>
        <v>0.17879999999999999</v>
      </c>
      <c r="V116" s="390"/>
      <c r="W116" s="607"/>
      <c r="X116" s="390">
        <f t="shared" si="32"/>
        <v>0.17879999999999999</v>
      </c>
      <c r="Y116" s="607"/>
      <c r="Z116" s="607"/>
      <c r="AA116" s="607"/>
      <c r="AB116" s="607">
        <v>3</v>
      </c>
      <c r="AC116" s="607"/>
      <c r="AD116" s="621"/>
    </row>
    <row r="117" spans="1:30" s="348" customFormat="1" ht="38.25">
      <c r="A117" s="845">
        <v>35</v>
      </c>
      <c r="B117" s="864" t="s">
        <v>558</v>
      </c>
      <c r="C117" s="864" t="s">
        <v>444</v>
      </c>
      <c r="D117" s="699" t="s">
        <v>727</v>
      </c>
      <c r="E117" s="864" t="s">
        <v>233</v>
      </c>
      <c r="F117" s="694">
        <v>296</v>
      </c>
      <c r="G117" s="607">
        <v>0.4</v>
      </c>
      <c r="H117" s="614">
        <v>1.75</v>
      </c>
      <c r="I117" s="614">
        <v>0.6</v>
      </c>
      <c r="J117" s="614">
        <v>0.92</v>
      </c>
      <c r="K117" s="617">
        <f t="shared" si="23"/>
        <v>272.32</v>
      </c>
      <c r="L117" s="618"/>
      <c r="M117" s="618">
        <f t="shared" si="24"/>
        <v>272.32</v>
      </c>
      <c r="N117" s="607"/>
      <c r="O117" s="607"/>
      <c r="P117" s="618">
        <f>(0.37*F117)*0.6</f>
        <v>65.711999999999989</v>
      </c>
      <c r="Q117" s="607"/>
      <c r="R117" s="618">
        <f>0.5*F117</f>
        <v>148</v>
      </c>
      <c r="S117" s="390"/>
      <c r="T117" s="390"/>
      <c r="U117" s="390">
        <f t="shared" si="31"/>
        <v>0.17760000000000001</v>
      </c>
      <c r="V117" s="390"/>
      <c r="W117" s="607"/>
      <c r="X117" s="390">
        <f t="shared" si="32"/>
        <v>0.17760000000000001</v>
      </c>
      <c r="Y117" s="607"/>
      <c r="Z117" s="607"/>
      <c r="AA117" s="607"/>
      <c r="AB117" s="607"/>
      <c r="AC117" s="607"/>
      <c r="AD117" s="621"/>
    </row>
    <row r="118" spans="1:30" s="348" customFormat="1" ht="25.5">
      <c r="A118" s="845">
        <v>36</v>
      </c>
      <c r="B118" s="864" t="s">
        <v>559</v>
      </c>
      <c r="C118" s="864" t="s">
        <v>444</v>
      </c>
      <c r="D118" s="700" t="s">
        <v>722</v>
      </c>
      <c r="E118" s="864" t="s">
        <v>233</v>
      </c>
      <c r="F118" s="694">
        <v>51</v>
      </c>
      <c r="G118" s="607">
        <v>0.4</v>
      </c>
      <c r="H118" s="614">
        <v>1.75</v>
      </c>
      <c r="I118" s="614">
        <v>0.6</v>
      </c>
      <c r="J118" s="614">
        <v>0.9</v>
      </c>
      <c r="K118" s="617">
        <f t="shared" si="23"/>
        <v>45.9</v>
      </c>
      <c r="L118" s="618"/>
      <c r="M118" s="618">
        <f t="shared" si="24"/>
        <v>45.9</v>
      </c>
      <c r="N118" s="607"/>
      <c r="O118" s="607"/>
      <c r="P118" s="618">
        <f>(0.45*F118)*0.6</f>
        <v>13.77</v>
      </c>
      <c r="Q118" s="607"/>
      <c r="R118" s="618">
        <f>0.45*F118</f>
        <v>22.95</v>
      </c>
      <c r="S118" s="390"/>
      <c r="T118" s="390">
        <f>6*F118/10000</f>
        <v>3.0599999999999999E-2</v>
      </c>
      <c r="U118" s="390"/>
      <c r="V118" s="390"/>
      <c r="W118" s="607"/>
      <c r="X118" s="390">
        <f t="shared" si="32"/>
        <v>3.0599999999999999E-2</v>
      </c>
      <c r="Y118" s="607"/>
      <c r="Z118" s="607"/>
      <c r="AA118" s="607"/>
      <c r="AB118" s="607"/>
      <c r="AC118" s="607"/>
      <c r="AD118" s="621"/>
    </row>
    <row r="119" spans="1:30" s="348" customFormat="1">
      <c r="A119" s="845">
        <v>37</v>
      </c>
      <c r="B119" s="864" t="s">
        <v>560</v>
      </c>
      <c r="C119" s="865" t="s">
        <v>444</v>
      </c>
      <c r="D119" s="614" t="s">
        <v>728</v>
      </c>
      <c r="E119" s="864" t="s">
        <v>233</v>
      </c>
      <c r="F119" s="694">
        <v>56</v>
      </c>
      <c r="G119" s="607">
        <v>0.4</v>
      </c>
      <c r="H119" s="614">
        <v>1.75</v>
      </c>
      <c r="I119" s="614">
        <v>0.6</v>
      </c>
      <c r="J119" s="614">
        <v>0.9</v>
      </c>
      <c r="K119" s="617">
        <f t="shared" si="23"/>
        <v>50.4</v>
      </c>
      <c r="L119" s="618"/>
      <c r="M119" s="618">
        <f t="shared" si="24"/>
        <v>50.4</v>
      </c>
      <c r="N119" s="607"/>
      <c r="O119" s="607"/>
      <c r="P119" s="618">
        <f>(0.37*F119)*0.6</f>
        <v>12.431999999999999</v>
      </c>
      <c r="Q119" s="607"/>
      <c r="R119" s="618">
        <f>0.53*F119</f>
        <v>29.68</v>
      </c>
      <c r="S119" s="390"/>
      <c r="T119" s="390">
        <f>6*F119/10000</f>
        <v>3.3599999999999998E-2</v>
      </c>
      <c r="U119" s="390"/>
      <c r="V119" s="390"/>
      <c r="W119" s="607"/>
      <c r="X119" s="390">
        <f t="shared" si="32"/>
        <v>3.3599999999999998E-2</v>
      </c>
      <c r="Y119" s="607"/>
      <c r="Z119" s="607"/>
      <c r="AA119" s="607"/>
      <c r="AB119" s="607"/>
      <c r="AC119" s="607"/>
      <c r="AD119" s="621"/>
    </row>
    <row r="120" spans="1:30" s="348" customFormat="1" ht="25.5">
      <c r="A120" s="845">
        <v>38</v>
      </c>
      <c r="B120" s="864" t="s">
        <v>561</v>
      </c>
      <c r="C120" s="864" t="s">
        <v>444</v>
      </c>
      <c r="D120" s="699" t="s">
        <v>729</v>
      </c>
      <c r="E120" s="864" t="s">
        <v>233</v>
      </c>
      <c r="F120" s="694">
        <v>920</v>
      </c>
      <c r="G120" s="607">
        <v>0.4</v>
      </c>
      <c r="H120" s="614">
        <v>1.75</v>
      </c>
      <c r="I120" s="614">
        <v>0.6</v>
      </c>
      <c r="J120" s="614">
        <f>0.45+0.86</f>
        <v>1.31</v>
      </c>
      <c r="K120" s="617">
        <f t="shared" si="23"/>
        <v>1205.2</v>
      </c>
      <c r="L120" s="618"/>
      <c r="M120" s="618">
        <f t="shared" si="24"/>
        <v>1205.2</v>
      </c>
      <c r="N120" s="607"/>
      <c r="O120" s="607"/>
      <c r="P120" s="618">
        <f>(0.45*F120)*0.6</f>
        <v>248.39999999999998</v>
      </c>
      <c r="Q120" s="607"/>
      <c r="R120" s="618">
        <f>0.86*F120</f>
        <v>791.19999999999993</v>
      </c>
      <c r="S120" s="390"/>
      <c r="T120" s="390"/>
      <c r="U120" s="390">
        <f t="shared" ref="U120:U129" si="33">F120*6/10000</f>
        <v>0.55200000000000005</v>
      </c>
      <c r="V120" s="390"/>
      <c r="W120" s="607"/>
      <c r="X120" s="390">
        <f t="shared" si="32"/>
        <v>0.55200000000000005</v>
      </c>
      <c r="Y120" s="607"/>
      <c r="Z120" s="607"/>
      <c r="AA120" s="607"/>
      <c r="AB120" s="607">
        <v>9</v>
      </c>
      <c r="AC120" s="607"/>
      <c r="AD120" s="621"/>
    </row>
    <row r="121" spans="1:30" s="348" customFormat="1" ht="25.5">
      <c r="A121" s="845">
        <v>39</v>
      </c>
      <c r="B121" s="864" t="s">
        <v>562</v>
      </c>
      <c r="C121" s="865" t="s">
        <v>444</v>
      </c>
      <c r="D121" s="701" t="s">
        <v>729</v>
      </c>
      <c r="E121" s="864" t="s">
        <v>233</v>
      </c>
      <c r="F121" s="480">
        <v>905</v>
      </c>
      <c r="G121" s="607">
        <v>0.4</v>
      </c>
      <c r="H121" s="614">
        <v>1.75</v>
      </c>
      <c r="I121" s="614">
        <v>0.6</v>
      </c>
      <c r="J121" s="647">
        <f>0.58+0.92</f>
        <v>1.5</v>
      </c>
      <c r="K121" s="634">
        <f t="shared" si="23"/>
        <v>1357.5</v>
      </c>
      <c r="L121" s="635"/>
      <c r="M121" s="635">
        <f t="shared" si="24"/>
        <v>1357.5</v>
      </c>
      <c r="N121" s="480"/>
      <c r="O121" s="480"/>
      <c r="P121" s="618">
        <f>(0.58*F121)*0.6</f>
        <v>314.94</v>
      </c>
      <c r="Q121" s="480"/>
      <c r="R121" s="618">
        <f>0.92*F121</f>
        <v>832.6</v>
      </c>
      <c r="S121" s="607"/>
      <c r="T121" s="607"/>
      <c r="U121" s="390">
        <f t="shared" si="33"/>
        <v>0.54300000000000004</v>
      </c>
      <c r="V121" s="479"/>
      <c r="W121" s="480"/>
      <c r="X121" s="390">
        <f t="shared" si="32"/>
        <v>0.54300000000000004</v>
      </c>
      <c r="Y121" s="480"/>
      <c r="Z121" s="480"/>
      <c r="AA121" s="480"/>
      <c r="AB121" s="480">
        <v>9</v>
      </c>
      <c r="AC121" s="480"/>
      <c r="AD121" s="636"/>
    </row>
    <row r="122" spans="1:30" s="348" customFormat="1">
      <c r="A122" s="1046">
        <v>40</v>
      </c>
      <c r="B122" s="864" t="s">
        <v>563</v>
      </c>
      <c r="C122" s="864" t="s">
        <v>444</v>
      </c>
      <c r="D122" s="614" t="s">
        <v>730</v>
      </c>
      <c r="E122" s="864" t="s">
        <v>233</v>
      </c>
      <c r="F122" s="607">
        <v>160</v>
      </c>
      <c r="G122" s="607">
        <v>0.4</v>
      </c>
      <c r="H122" s="614">
        <v>1.75</v>
      </c>
      <c r="I122" s="614">
        <v>0.6</v>
      </c>
      <c r="J122" s="614">
        <f>0.5+0.86</f>
        <v>1.3599999999999999</v>
      </c>
      <c r="K122" s="617">
        <f t="shared" si="23"/>
        <v>217.59999999999997</v>
      </c>
      <c r="L122" s="618"/>
      <c r="M122" s="618">
        <f t="shared" si="24"/>
        <v>217.59999999999997</v>
      </c>
      <c r="N122" s="607"/>
      <c r="O122" s="607"/>
      <c r="P122" s="618">
        <f>(0.5*F122)*0.6</f>
        <v>48</v>
      </c>
      <c r="Q122" s="607"/>
      <c r="R122" s="618">
        <f>0.86*F122</f>
        <v>137.6</v>
      </c>
      <c r="S122" s="390"/>
      <c r="T122" s="390"/>
      <c r="U122" s="390">
        <f t="shared" si="33"/>
        <v>9.6000000000000002E-2</v>
      </c>
      <c r="V122" s="390"/>
      <c r="W122" s="607"/>
      <c r="X122" s="390">
        <f t="shared" si="32"/>
        <v>9.6000000000000002E-2</v>
      </c>
      <c r="Y122" s="607"/>
      <c r="Z122" s="607"/>
      <c r="AA122" s="607"/>
      <c r="AB122" s="607">
        <v>4</v>
      </c>
      <c r="AC122" s="607"/>
      <c r="AD122" s="621"/>
    </row>
    <row r="123" spans="1:30" s="348" customFormat="1">
      <c r="A123" s="1046">
        <v>41</v>
      </c>
      <c r="B123" s="864" t="s">
        <v>564</v>
      </c>
      <c r="C123" s="864" t="s">
        <v>444</v>
      </c>
      <c r="D123" s="614" t="s">
        <v>731</v>
      </c>
      <c r="E123" s="864" t="s">
        <v>233</v>
      </c>
      <c r="F123" s="607">
        <v>398</v>
      </c>
      <c r="G123" s="607">
        <v>0.4</v>
      </c>
      <c r="H123" s="614">
        <v>1.75</v>
      </c>
      <c r="I123" s="614">
        <v>0.6</v>
      </c>
      <c r="J123" s="614">
        <f>0.6+1.1</f>
        <v>1.7000000000000002</v>
      </c>
      <c r="K123" s="617">
        <f t="shared" si="23"/>
        <v>676.6</v>
      </c>
      <c r="L123" s="618"/>
      <c r="M123" s="618">
        <f t="shared" si="24"/>
        <v>676.6</v>
      </c>
      <c r="N123" s="607"/>
      <c r="O123" s="607"/>
      <c r="P123" s="618">
        <f>(0.6*F123)*0.6</f>
        <v>143.27999999999997</v>
      </c>
      <c r="Q123" s="607"/>
      <c r="R123" s="618">
        <f>1.1*F123</f>
        <v>437.8</v>
      </c>
      <c r="S123" s="390"/>
      <c r="T123" s="390"/>
      <c r="U123" s="390">
        <f t="shared" si="33"/>
        <v>0.23880000000000001</v>
      </c>
      <c r="V123" s="390"/>
      <c r="W123" s="607"/>
      <c r="X123" s="390">
        <f t="shared" si="32"/>
        <v>0.23880000000000001</v>
      </c>
      <c r="Y123" s="607"/>
      <c r="Z123" s="607"/>
      <c r="AA123" s="607"/>
      <c r="AB123" s="607">
        <v>4</v>
      </c>
      <c r="AC123" s="607"/>
      <c r="AD123" s="621"/>
    </row>
    <row r="124" spans="1:30" s="348" customFormat="1">
      <c r="A124" s="1046">
        <v>42</v>
      </c>
      <c r="B124" s="864" t="s">
        <v>565</v>
      </c>
      <c r="C124" s="865" t="s">
        <v>444</v>
      </c>
      <c r="D124" s="614" t="s">
        <v>723</v>
      </c>
      <c r="E124" s="864" t="s">
        <v>233</v>
      </c>
      <c r="F124" s="607">
        <v>90</v>
      </c>
      <c r="G124" s="607">
        <v>0.4</v>
      </c>
      <c r="H124" s="614">
        <v>1.75</v>
      </c>
      <c r="I124" s="614">
        <v>0.6</v>
      </c>
      <c r="J124" s="614">
        <f>0.3+0.2</f>
        <v>0.5</v>
      </c>
      <c r="K124" s="617">
        <f t="shared" si="23"/>
        <v>45</v>
      </c>
      <c r="L124" s="618"/>
      <c r="M124" s="618">
        <f t="shared" si="24"/>
        <v>45</v>
      </c>
      <c r="N124" s="607"/>
      <c r="O124" s="607"/>
      <c r="P124" s="618">
        <f>(0.3*F124)*0.6</f>
        <v>16.2</v>
      </c>
      <c r="Q124" s="607"/>
      <c r="R124" s="618">
        <f>0.2*F124</f>
        <v>18</v>
      </c>
      <c r="S124" s="390"/>
      <c r="T124" s="390"/>
      <c r="U124" s="390">
        <f t="shared" si="33"/>
        <v>5.3999999999999999E-2</v>
      </c>
      <c r="V124" s="390"/>
      <c r="W124" s="607"/>
      <c r="X124" s="390">
        <f t="shared" si="32"/>
        <v>5.3999999999999999E-2</v>
      </c>
      <c r="Y124" s="607"/>
      <c r="Z124" s="607"/>
      <c r="AA124" s="607"/>
      <c r="AB124" s="607"/>
      <c r="AC124" s="607"/>
      <c r="AD124" s="621"/>
    </row>
    <row r="125" spans="1:30" s="348" customFormat="1">
      <c r="A125" s="1046">
        <v>43</v>
      </c>
      <c r="B125" s="864" t="s">
        <v>566</v>
      </c>
      <c r="C125" s="864" t="s">
        <v>444</v>
      </c>
      <c r="D125" s="614" t="s">
        <v>723</v>
      </c>
      <c r="E125" s="864" t="s">
        <v>233</v>
      </c>
      <c r="F125" s="607">
        <v>177</v>
      </c>
      <c r="G125" s="607">
        <v>0.4</v>
      </c>
      <c r="H125" s="614">
        <v>1.75</v>
      </c>
      <c r="I125" s="614">
        <v>0.6</v>
      </c>
      <c r="J125" s="614">
        <f>0.39+0.55</f>
        <v>0.94000000000000006</v>
      </c>
      <c r="K125" s="617">
        <f t="shared" si="23"/>
        <v>166.38000000000002</v>
      </c>
      <c r="L125" s="618"/>
      <c r="M125" s="618">
        <f t="shared" si="24"/>
        <v>166.38000000000002</v>
      </c>
      <c r="N125" s="607"/>
      <c r="O125" s="607"/>
      <c r="P125" s="618">
        <f>(0.39*F125)*0.6</f>
        <v>41.417999999999999</v>
      </c>
      <c r="Q125" s="607"/>
      <c r="R125" s="618">
        <f>0.55*F125</f>
        <v>97.350000000000009</v>
      </c>
      <c r="S125" s="390"/>
      <c r="T125" s="390">
        <f>6*F125/10000</f>
        <v>0.1062</v>
      </c>
      <c r="U125" s="390"/>
      <c r="V125" s="390"/>
      <c r="W125" s="607"/>
      <c r="X125" s="390">
        <f t="shared" si="32"/>
        <v>0.1062</v>
      </c>
      <c r="Y125" s="607"/>
      <c r="Z125" s="607"/>
      <c r="AA125" s="607"/>
      <c r="AB125" s="607"/>
      <c r="AC125" s="607"/>
      <c r="AD125" s="621"/>
    </row>
    <row r="126" spans="1:30" s="348" customFormat="1">
      <c r="A126" s="1046">
        <v>44</v>
      </c>
      <c r="B126" s="864" t="s">
        <v>567</v>
      </c>
      <c r="C126" s="865" t="s">
        <v>444</v>
      </c>
      <c r="D126" s="614" t="s">
        <v>733</v>
      </c>
      <c r="E126" s="864" t="s">
        <v>233</v>
      </c>
      <c r="F126" s="607">
        <v>203</v>
      </c>
      <c r="G126" s="607">
        <v>0.4</v>
      </c>
      <c r="H126" s="614">
        <v>1.75</v>
      </c>
      <c r="I126" s="614">
        <v>0.6</v>
      </c>
      <c r="J126" s="614">
        <f>0.5+0.95</f>
        <v>1.45</v>
      </c>
      <c r="K126" s="617">
        <f t="shared" si="23"/>
        <v>294.34999999999997</v>
      </c>
      <c r="L126" s="618"/>
      <c r="M126" s="618">
        <f t="shared" si="24"/>
        <v>294.34999999999997</v>
      </c>
      <c r="N126" s="607"/>
      <c r="O126" s="607"/>
      <c r="P126" s="618">
        <f>(0.5*F126)*0.6</f>
        <v>60.9</v>
      </c>
      <c r="Q126" s="607"/>
      <c r="R126" s="618">
        <f>0.95*F126</f>
        <v>192.85</v>
      </c>
      <c r="S126" s="390"/>
      <c r="T126" s="390"/>
      <c r="U126" s="390">
        <f t="shared" si="33"/>
        <v>0.12180000000000001</v>
      </c>
      <c r="V126" s="390"/>
      <c r="W126" s="607"/>
      <c r="X126" s="390">
        <f t="shared" si="32"/>
        <v>0.12180000000000001</v>
      </c>
      <c r="Y126" s="607"/>
      <c r="Z126" s="607"/>
      <c r="AA126" s="607"/>
      <c r="AB126" s="607"/>
      <c r="AC126" s="607"/>
      <c r="AD126" s="621"/>
    </row>
    <row r="127" spans="1:30" s="348" customFormat="1">
      <c r="A127" s="1046">
        <v>45</v>
      </c>
      <c r="B127" s="864" t="s">
        <v>568</v>
      </c>
      <c r="C127" s="864" t="s">
        <v>444</v>
      </c>
      <c r="D127" s="614" t="s">
        <v>732</v>
      </c>
      <c r="E127" s="864" t="s">
        <v>233</v>
      </c>
      <c r="F127" s="607">
        <v>500</v>
      </c>
      <c r="G127" s="607">
        <v>0.4</v>
      </c>
      <c r="H127" s="614">
        <v>1.75</v>
      </c>
      <c r="I127" s="614">
        <v>0.6</v>
      </c>
      <c r="J127" s="614">
        <f>0.54+0.85</f>
        <v>1.3900000000000001</v>
      </c>
      <c r="K127" s="617">
        <f t="shared" si="23"/>
        <v>695.00000000000011</v>
      </c>
      <c r="L127" s="618"/>
      <c r="M127" s="618">
        <f t="shared" si="24"/>
        <v>695.00000000000011</v>
      </c>
      <c r="N127" s="607"/>
      <c r="O127" s="607"/>
      <c r="P127" s="618">
        <f>(0.54*F127)*0.6</f>
        <v>162</v>
      </c>
      <c r="Q127" s="607"/>
      <c r="R127" s="618">
        <f>0.85*F127</f>
        <v>425</v>
      </c>
      <c r="S127" s="390"/>
      <c r="T127" s="390"/>
      <c r="U127" s="390">
        <f t="shared" si="33"/>
        <v>0.3</v>
      </c>
      <c r="V127" s="390"/>
      <c r="W127" s="607"/>
      <c r="X127" s="390">
        <f t="shared" si="32"/>
        <v>0.3</v>
      </c>
      <c r="Y127" s="607"/>
      <c r="Z127" s="607"/>
      <c r="AA127" s="607"/>
      <c r="AB127" s="607">
        <v>5</v>
      </c>
      <c r="AC127" s="607"/>
      <c r="AD127" s="621"/>
    </row>
    <row r="128" spans="1:30" s="348" customFormat="1">
      <c r="A128" s="1046">
        <v>46</v>
      </c>
      <c r="B128" s="865" t="s">
        <v>569</v>
      </c>
      <c r="C128" s="865" t="s">
        <v>444</v>
      </c>
      <c r="D128" s="647" t="s">
        <v>732</v>
      </c>
      <c r="E128" s="865" t="s">
        <v>233</v>
      </c>
      <c r="F128" s="480">
        <v>176</v>
      </c>
      <c r="G128" s="607">
        <v>0.4</v>
      </c>
      <c r="H128" s="614">
        <v>1.75</v>
      </c>
      <c r="I128" s="614">
        <v>0.6</v>
      </c>
      <c r="J128" s="647">
        <f>0.47+0.62</f>
        <v>1.0899999999999999</v>
      </c>
      <c r="K128" s="617">
        <f t="shared" si="23"/>
        <v>191.83999999999997</v>
      </c>
      <c r="L128" s="635"/>
      <c r="M128" s="618">
        <f t="shared" si="24"/>
        <v>191.83999999999997</v>
      </c>
      <c r="N128" s="480"/>
      <c r="O128" s="480"/>
      <c r="P128" s="618">
        <f>(0.47*F128)*0.6</f>
        <v>49.631999999999998</v>
      </c>
      <c r="Q128" s="480"/>
      <c r="R128" s="618">
        <f>0.62*F128</f>
        <v>109.12</v>
      </c>
      <c r="S128" s="479"/>
      <c r="T128" s="479"/>
      <c r="U128" s="390">
        <f t="shared" si="33"/>
        <v>0.1056</v>
      </c>
      <c r="V128" s="479"/>
      <c r="W128" s="480"/>
      <c r="X128" s="390">
        <f t="shared" si="32"/>
        <v>0.1056</v>
      </c>
      <c r="Y128" s="480"/>
      <c r="Z128" s="480"/>
      <c r="AA128" s="480"/>
      <c r="AB128" s="480"/>
      <c r="AC128" s="480"/>
      <c r="AD128" s="636"/>
    </row>
    <row r="129" spans="1:30" s="348" customFormat="1">
      <c r="A129" s="1046">
        <v>47</v>
      </c>
      <c r="B129" s="864" t="s">
        <v>570</v>
      </c>
      <c r="C129" s="865" t="s">
        <v>444</v>
      </c>
      <c r="D129" s="614" t="s">
        <v>732</v>
      </c>
      <c r="E129" s="864" t="s">
        <v>233</v>
      </c>
      <c r="F129" s="607">
        <v>436</v>
      </c>
      <c r="G129" s="607">
        <v>0.4</v>
      </c>
      <c r="H129" s="614">
        <v>1.75</v>
      </c>
      <c r="I129" s="614">
        <v>0.6</v>
      </c>
      <c r="J129" s="614">
        <f>0.47+0.59</f>
        <v>1.06</v>
      </c>
      <c r="K129" s="617">
        <f t="shared" si="23"/>
        <v>462.16</v>
      </c>
      <c r="L129" s="618"/>
      <c r="M129" s="618">
        <f t="shared" si="24"/>
        <v>462.16</v>
      </c>
      <c r="N129" s="607"/>
      <c r="O129" s="607"/>
      <c r="P129" s="618">
        <f>(0.47*F129)*0.6</f>
        <v>122.95199999999998</v>
      </c>
      <c r="Q129" s="607"/>
      <c r="R129" s="618">
        <f>0.59*F129</f>
        <v>257.24</v>
      </c>
      <c r="S129" s="390"/>
      <c r="T129" s="390"/>
      <c r="U129" s="390">
        <f t="shared" si="33"/>
        <v>0.2616</v>
      </c>
      <c r="V129" s="390"/>
      <c r="W129" s="607"/>
      <c r="X129" s="390">
        <f t="shared" si="32"/>
        <v>0.2616</v>
      </c>
      <c r="Y129" s="607"/>
      <c r="Z129" s="607"/>
      <c r="AA129" s="607"/>
      <c r="AB129" s="607">
        <v>4</v>
      </c>
      <c r="AC129" s="607"/>
      <c r="AD129" s="621"/>
    </row>
    <row r="130" spans="1:30" s="348" customFormat="1">
      <c r="A130" s="1046">
        <v>48</v>
      </c>
      <c r="B130" s="864" t="s">
        <v>571</v>
      </c>
      <c r="C130" s="864" t="s">
        <v>444</v>
      </c>
      <c r="D130" s="614" t="s">
        <v>707</v>
      </c>
      <c r="E130" s="864" t="s">
        <v>233</v>
      </c>
      <c r="F130" s="607">
        <v>103</v>
      </c>
      <c r="G130" s="607">
        <v>0.4</v>
      </c>
      <c r="H130" s="614">
        <v>1.75</v>
      </c>
      <c r="I130" s="614">
        <v>0.6</v>
      </c>
      <c r="J130" s="614">
        <f>0.49+0.64</f>
        <v>1.1299999999999999</v>
      </c>
      <c r="K130" s="617">
        <f t="shared" si="23"/>
        <v>116.38999999999999</v>
      </c>
      <c r="L130" s="618"/>
      <c r="M130" s="618">
        <f t="shared" si="24"/>
        <v>116.38999999999999</v>
      </c>
      <c r="N130" s="607"/>
      <c r="O130" s="607"/>
      <c r="P130" s="618">
        <f>(0.49*F130)*0.6</f>
        <v>30.281999999999996</v>
      </c>
      <c r="Q130" s="607"/>
      <c r="R130" s="618">
        <f>0.64*F130</f>
        <v>65.92</v>
      </c>
      <c r="S130" s="390"/>
      <c r="T130" s="390">
        <f>6*F130/10000</f>
        <v>6.1800000000000001E-2</v>
      </c>
      <c r="U130" s="390"/>
      <c r="V130" s="390"/>
      <c r="W130" s="607"/>
      <c r="X130" s="390">
        <f>SUM(S130:W130)</f>
        <v>6.1800000000000001E-2</v>
      </c>
      <c r="Y130" s="607"/>
      <c r="Z130" s="607"/>
      <c r="AA130" s="607"/>
      <c r="AB130" s="607"/>
      <c r="AC130" s="607"/>
      <c r="AD130" s="607"/>
    </row>
    <row r="131" spans="1:30" s="348" customFormat="1" ht="25.5" customHeight="1">
      <c r="A131" s="1046">
        <v>49</v>
      </c>
      <c r="B131" s="864" t="s">
        <v>764</v>
      </c>
      <c r="C131" s="865" t="s">
        <v>444</v>
      </c>
      <c r="D131" s="703" t="s">
        <v>770</v>
      </c>
      <c r="E131" s="864"/>
      <c r="F131" s="607">
        <v>60</v>
      </c>
      <c r="G131" s="607"/>
      <c r="H131" s="614"/>
      <c r="I131" s="614"/>
      <c r="J131" s="614"/>
      <c r="K131" s="617">
        <f>(0.2*5)*F131</f>
        <v>60</v>
      </c>
      <c r="L131" s="618"/>
      <c r="M131" s="618">
        <f t="shared" si="24"/>
        <v>60</v>
      </c>
      <c r="N131" s="607"/>
      <c r="O131" s="607"/>
      <c r="P131" s="618">
        <f t="shared" ref="P131:P136" si="34">M131*0.6</f>
        <v>36</v>
      </c>
      <c r="Q131" s="607"/>
      <c r="R131" s="618"/>
      <c r="S131" s="390"/>
      <c r="T131" s="390"/>
      <c r="U131" s="390">
        <f>(F131*5)/10000</f>
        <v>0.03</v>
      </c>
      <c r="V131" s="390"/>
      <c r="W131" s="607"/>
      <c r="X131" s="390">
        <f t="shared" ref="X131:X136" si="35">SUM(S131:W131)</f>
        <v>0.03</v>
      </c>
      <c r="Y131" s="607"/>
      <c r="Z131" s="607"/>
      <c r="AA131" s="607"/>
      <c r="AB131" s="607"/>
      <c r="AC131" s="607"/>
      <c r="AD131" s="607"/>
    </row>
    <row r="132" spans="1:30" s="348" customFormat="1" ht="25.5">
      <c r="A132" s="1046">
        <v>50</v>
      </c>
      <c r="B132" s="864" t="s">
        <v>765</v>
      </c>
      <c r="C132" s="865" t="s">
        <v>444</v>
      </c>
      <c r="D132" s="699" t="s">
        <v>771</v>
      </c>
      <c r="E132" s="864"/>
      <c r="F132" s="607">
        <v>70</v>
      </c>
      <c r="G132" s="607"/>
      <c r="H132" s="614"/>
      <c r="I132" s="614"/>
      <c r="J132" s="614"/>
      <c r="K132" s="617">
        <f>(0.2*3)*F132</f>
        <v>42.000000000000007</v>
      </c>
      <c r="L132" s="618"/>
      <c r="M132" s="618">
        <f t="shared" si="24"/>
        <v>42.000000000000007</v>
      </c>
      <c r="N132" s="607"/>
      <c r="O132" s="607"/>
      <c r="P132" s="618">
        <f t="shared" si="34"/>
        <v>25.200000000000003</v>
      </c>
      <c r="Q132" s="607"/>
      <c r="R132" s="618"/>
      <c r="S132" s="390">
        <f>3*F132/10000</f>
        <v>2.1000000000000001E-2</v>
      </c>
      <c r="U132" s="390"/>
      <c r="V132" s="390"/>
      <c r="W132" s="607"/>
      <c r="X132" s="390">
        <f t="shared" si="35"/>
        <v>2.1000000000000001E-2</v>
      </c>
      <c r="Y132" s="607"/>
      <c r="Z132" s="607"/>
      <c r="AA132" s="607"/>
      <c r="AB132" s="607"/>
      <c r="AC132" s="607"/>
      <c r="AD132" s="607"/>
    </row>
    <row r="133" spans="1:30" s="348" customFormat="1">
      <c r="A133" s="1046">
        <v>51</v>
      </c>
      <c r="B133" s="864" t="s">
        <v>766</v>
      </c>
      <c r="C133" s="864" t="s">
        <v>444</v>
      </c>
      <c r="D133" s="614" t="s">
        <v>730</v>
      </c>
      <c r="E133" s="864"/>
      <c r="F133" s="607">
        <v>280</v>
      </c>
      <c r="G133" s="607"/>
      <c r="H133" s="614"/>
      <c r="I133" s="614"/>
      <c r="J133" s="614"/>
      <c r="K133" s="617">
        <f>(3*0.2)*F133</f>
        <v>168.00000000000003</v>
      </c>
      <c r="L133" s="618"/>
      <c r="M133" s="618">
        <f t="shared" si="24"/>
        <v>168.00000000000003</v>
      </c>
      <c r="N133" s="607"/>
      <c r="O133" s="607"/>
      <c r="P133" s="618">
        <f t="shared" si="34"/>
        <v>100.80000000000001</v>
      </c>
      <c r="Q133" s="607"/>
      <c r="R133" s="618"/>
      <c r="S133" s="390"/>
      <c r="T133" s="390"/>
      <c r="U133" s="390"/>
      <c r="V133" s="390">
        <f>(3*F133)/10000</f>
        <v>8.4000000000000005E-2</v>
      </c>
      <c r="W133" s="607"/>
      <c r="X133" s="390">
        <f t="shared" si="35"/>
        <v>8.4000000000000005E-2</v>
      </c>
      <c r="Y133" s="607"/>
      <c r="Z133" s="607"/>
      <c r="AA133" s="607"/>
      <c r="AB133" s="607"/>
      <c r="AC133" s="607"/>
      <c r="AD133" s="607"/>
    </row>
    <row r="134" spans="1:30" s="348" customFormat="1">
      <c r="A134" s="1046">
        <v>52</v>
      </c>
      <c r="B134" s="864" t="s">
        <v>767</v>
      </c>
      <c r="C134" s="865" t="s">
        <v>444</v>
      </c>
      <c r="D134" s="614" t="s">
        <v>772</v>
      </c>
      <c r="E134" s="864"/>
      <c r="F134" s="607">
        <v>53</v>
      </c>
      <c r="G134" s="607"/>
      <c r="H134" s="614"/>
      <c r="I134" s="614"/>
      <c r="J134" s="614"/>
      <c r="K134" s="617">
        <v>0</v>
      </c>
      <c r="L134" s="618"/>
      <c r="M134" s="618">
        <f t="shared" si="24"/>
        <v>0</v>
      </c>
      <c r="N134" s="607"/>
      <c r="O134" s="607"/>
      <c r="P134" s="618">
        <f t="shared" si="34"/>
        <v>0</v>
      </c>
      <c r="Q134" s="607"/>
      <c r="R134" s="618"/>
      <c r="S134" s="390"/>
      <c r="T134" s="390"/>
      <c r="U134" s="390"/>
      <c r="V134" s="390"/>
      <c r="W134" s="607"/>
      <c r="X134" s="390">
        <f t="shared" si="35"/>
        <v>0</v>
      </c>
      <c r="Y134" s="607"/>
      <c r="Z134" s="607"/>
      <c r="AA134" s="607"/>
      <c r="AB134" s="607"/>
      <c r="AC134" s="607"/>
      <c r="AD134" s="607" t="s">
        <v>773</v>
      </c>
    </row>
    <row r="135" spans="1:30" s="348" customFormat="1">
      <c r="A135" s="1046">
        <v>53</v>
      </c>
      <c r="B135" s="864" t="s">
        <v>768</v>
      </c>
      <c r="C135" s="865" t="s">
        <v>444</v>
      </c>
      <c r="D135" s="614" t="s">
        <v>431</v>
      </c>
      <c r="E135" s="864"/>
      <c r="F135" s="607">
        <v>77</v>
      </c>
      <c r="G135" s="607"/>
      <c r="H135" s="614"/>
      <c r="I135" s="614"/>
      <c r="J135" s="614"/>
      <c r="K135" s="617">
        <f>(3*0.2)*F135</f>
        <v>46.20000000000001</v>
      </c>
      <c r="L135" s="618"/>
      <c r="M135" s="618">
        <f t="shared" si="24"/>
        <v>46.20000000000001</v>
      </c>
      <c r="N135" s="607"/>
      <c r="O135" s="607"/>
      <c r="P135" s="618">
        <f t="shared" si="34"/>
        <v>27.720000000000006</v>
      </c>
      <c r="Q135" s="607"/>
      <c r="R135" s="618"/>
      <c r="S135" s="390">
        <f>3*F135/10000</f>
        <v>2.3099999999999999E-2</v>
      </c>
      <c r="T135" s="390"/>
      <c r="U135" s="390"/>
      <c r="V135" s="390"/>
      <c r="W135" s="607"/>
      <c r="X135" s="390">
        <f t="shared" si="35"/>
        <v>2.3099999999999999E-2</v>
      </c>
      <c r="Y135" s="607"/>
      <c r="Z135" s="607"/>
      <c r="AA135" s="607"/>
      <c r="AB135" s="607"/>
      <c r="AC135" s="607"/>
      <c r="AD135" s="607"/>
    </row>
    <row r="136" spans="1:30" s="348" customFormat="1" ht="15.75" thickBot="1">
      <c r="A136" s="1046">
        <v>54</v>
      </c>
      <c r="B136" s="864" t="s">
        <v>769</v>
      </c>
      <c r="C136" s="864" t="s">
        <v>444</v>
      </c>
      <c r="D136" s="655" t="s">
        <v>730</v>
      </c>
      <c r="E136" s="866"/>
      <c r="F136" s="387">
        <v>121</v>
      </c>
      <c r="G136" s="387"/>
      <c r="H136" s="655"/>
      <c r="I136" s="655"/>
      <c r="J136" s="655"/>
      <c r="K136" s="617">
        <f>(3*0.2)*F136</f>
        <v>72.600000000000009</v>
      </c>
      <c r="L136" s="692"/>
      <c r="M136" s="618">
        <f t="shared" si="24"/>
        <v>72.600000000000009</v>
      </c>
      <c r="N136" s="387"/>
      <c r="O136" s="387"/>
      <c r="P136" s="618">
        <f t="shared" si="34"/>
        <v>43.56</v>
      </c>
      <c r="Q136" s="387"/>
      <c r="R136" s="692"/>
      <c r="S136" s="478"/>
      <c r="T136" s="478"/>
      <c r="U136" s="478"/>
      <c r="V136" s="478">
        <f>(3*F136)/10000</f>
        <v>3.6299999999999999E-2</v>
      </c>
      <c r="W136" s="387"/>
      <c r="X136" s="390">
        <f t="shared" si="35"/>
        <v>3.6299999999999999E-2</v>
      </c>
      <c r="Y136" s="387"/>
      <c r="Z136" s="387"/>
      <c r="AA136" s="387"/>
      <c r="AB136" s="387"/>
      <c r="AC136" s="387"/>
      <c r="AD136" s="624"/>
    </row>
    <row r="137" spans="1:30" s="348" customFormat="1" ht="15.75" thickBot="1">
      <c r="A137" s="399"/>
      <c r="B137" s="1448" t="s">
        <v>438</v>
      </c>
      <c r="C137" s="1449"/>
      <c r="D137" s="629"/>
      <c r="E137" s="626"/>
      <c r="F137" s="687">
        <f>SUM(F83:F136)</f>
        <v>11476</v>
      </c>
      <c r="G137" s="687"/>
      <c r="H137" s="688"/>
      <c r="I137" s="688"/>
      <c r="J137" s="688"/>
      <c r="K137" s="620">
        <f>SUM(K83:K136)</f>
        <v>13732.34</v>
      </c>
      <c r="L137" s="620"/>
      <c r="M137" s="620">
        <f>SUM(M83:M136)</f>
        <v>13732.34</v>
      </c>
      <c r="N137" s="620"/>
      <c r="O137" s="620"/>
      <c r="P137" s="620">
        <f>SUM(P83:P136)</f>
        <v>5632.6059999999998</v>
      </c>
      <c r="Q137" s="620"/>
      <c r="R137" s="620">
        <f>SUM(R83:R130)</f>
        <v>4346.2299999999996</v>
      </c>
      <c r="S137" s="468">
        <f>SUM(S83:S136)</f>
        <v>4.41E-2</v>
      </c>
      <c r="T137" s="468">
        <f>SUM(T83:T136)</f>
        <v>1.5859000000000001</v>
      </c>
      <c r="U137" s="468">
        <f>SUM(U83:U136)</f>
        <v>3.8390999999999997</v>
      </c>
      <c r="V137" s="468">
        <f>SUM(V83:V136)</f>
        <v>1.1560000000000001</v>
      </c>
      <c r="W137" s="468"/>
      <c r="X137" s="468">
        <f>SUM(X83:X136)</f>
        <v>6.6251000000000007</v>
      </c>
      <c r="Y137" s="687"/>
      <c r="Z137" s="687"/>
      <c r="AA137" s="687"/>
      <c r="AB137" s="620">
        <f>SUM(AB83:AB130)</f>
        <v>58</v>
      </c>
      <c r="AC137" s="687"/>
      <c r="AD137" s="689"/>
    </row>
    <row r="138" spans="1:30" s="348" customFormat="1">
      <c r="A138" s="667"/>
      <c r="B138" s="1452" t="s">
        <v>459</v>
      </c>
      <c r="C138" s="1452"/>
      <c r="D138" s="668"/>
      <c r="E138" s="386"/>
      <c r="F138" s="644">
        <f>F109+F107+F105+F104+F103+F102+F101+F100+F99+F93+F92+F91+F89+F88+F87+F86+F85+F84+F83</f>
        <v>3270</v>
      </c>
      <c r="G138" s="644"/>
      <c r="H138" s="645"/>
      <c r="I138" s="645"/>
      <c r="J138" s="645"/>
      <c r="K138" s="510">
        <f>K109+K107+K105+K104+K103+K102+K101+K100+K99+K93+K92+K91+K89+K88+K87+K86+K85+K84+K83</f>
        <v>4915.7</v>
      </c>
      <c r="L138" s="510"/>
      <c r="M138" s="510">
        <f>M109+M107+M105+M104+M103+M102+M101+M100+M99+M93+M92+M91+M89+M88+M87+M86+M85+M84+M83</f>
        <v>4915.7</v>
      </c>
      <c r="N138" s="510"/>
      <c r="O138" s="510"/>
      <c r="P138" s="510">
        <f>P109+P107+P105+P104+P103+P102+P101+P100+P99+P93+P92+P91+P89+P88+P87+P86+P85+P84+P83</f>
        <v>2949.4199999999996</v>
      </c>
      <c r="Q138" s="510"/>
      <c r="R138" s="510"/>
      <c r="S138" s="644"/>
      <c r="T138" s="469">
        <f>T109+T107+T105+T104+T103+T102+T101+T100+T99+T93+T92+T91+T89+T88+T87+T86+T85+T84+T83</f>
        <v>0.9003000000000001</v>
      </c>
      <c r="U138" s="469">
        <f>U109+U107+U105+U104+U103+U102+U101+U100+U99+U93+U92+U91+U89+U88+U87+U86+U85+U84+U83</f>
        <v>0.32250000000000001</v>
      </c>
      <c r="V138" s="469">
        <f>V109+V107+V105+V104+V103+V102+V101+V100+V99+V93+V92+V91+V89+V88+V87+V86+V85+V84+V83</f>
        <v>0.70790000000000008</v>
      </c>
      <c r="W138" s="469"/>
      <c r="X138" s="469">
        <f>X109+X107+X105+X104+X103+X102+X101+X100+X99+X93+X92+X91+X89+X88+X87+X86+X85+X84+X83</f>
        <v>1.9306999999999999</v>
      </c>
      <c r="Y138" s="644"/>
      <c r="Z138" s="644"/>
      <c r="AA138" s="644"/>
      <c r="AB138" s="644">
        <f>AB109+AB107+AB105+AB104+AB103+AB102+AB101+AB100+AB99+AB93+AB92+AB91+AB89+AB88+AB87+AB86+AB85+AB84+AB83</f>
        <v>8</v>
      </c>
      <c r="AC138" s="644"/>
      <c r="AD138" s="646"/>
    </row>
    <row r="139" spans="1:30" s="348" customFormat="1">
      <c r="A139" s="845"/>
      <c r="B139" s="1450" t="s">
        <v>577</v>
      </c>
      <c r="C139" s="1450"/>
      <c r="D139" s="614"/>
      <c r="E139" s="607"/>
      <c r="F139" s="662">
        <f>F110+F111+F112+F113+F114+F115+F116+F117+F118+F119+F120+F121+F122+F123+F124+F125+F126+F127+F128+F129+F130</f>
        <v>6052</v>
      </c>
      <c r="G139" s="662"/>
      <c r="H139" s="663"/>
      <c r="I139" s="663"/>
      <c r="J139" s="663"/>
      <c r="K139" s="509">
        <f>K110+K111+K112+K113+K114+K115+K116+K117+K118+K119+K120+K121+K122+K123+K124+K125+K126+K127+K128+K129+K130</f>
        <v>7226.340000000002</v>
      </c>
      <c r="L139" s="509"/>
      <c r="M139" s="509">
        <f>M110+M111+M112+M113+M114+M115+M116+M117+M118+M119+M120+M121+M122+M123+M124+M125+M126+M127+M128+M129+M130</f>
        <v>7226.340000000002</v>
      </c>
      <c r="N139" s="509"/>
      <c r="O139" s="509"/>
      <c r="P139" s="509">
        <f>P110+P111+P112+P113+P114+P115+P116+P117+P118+P119+P120+P121+P122+P123+P124+P125+P126+P127+P128+P129+P130</f>
        <v>1729.0059999999999</v>
      </c>
      <c r="Q139" s="509"/>
      <c r="R139" s="509">
        <f>R110+R111+R112+R113+R114+R115+R116+R117+R118+R119+R120+R121+R122+R123+R124+R125+R126+R127+R128+R129+R130</f>
        <v>4346.2299999999996</v>
      </c>
      <c r="S139" s="662"/>
      <c r="T139" s="472">
        <f>T110+T111+T112+T113+T114+T115+T116+T117+T118+T119+T120+T121+T122+T123+T124+T125+T126+T127+T128+T129+T130</f>
        <v>0.23219999999999999</v>
      </c>
      <c r="U139" s="472">
        <f>U110+U111+U112+U113+U114+U115+U116+U117+U118+U119+U120+U121+U122+U123+U124+U125+U126+U127+U128+U129+U130</f>
        <v>3.3989999999999996</v>
      </c>
      <c r="V139" s="472"/>
      <c r="W139" s="472"/>
      <c r="X139" s="472">
        <f>X110+X111+X112+X113+X114+X115+X116+X117+X118+X119+X120+X121+X122+X123+X124+X125+X126+X127+X128+X129+X130</f>
        <v>3.6311999999999993</v>
      </c>
      <c r="Y139" s="662"/>
      <c r="Z139" s="662"/>
      <c r="AA139" s="662"/>
      <c r="AB139" s="662">
        <f>AB110+AB111+AB112+AB113+AB114+AB115+AB116+AB117+AB118+AB119+AB120+AB121+AB122+AB123+AB124+AB125+AB126+AB127+AB128+AB129+AB130</f>
        <v>46</v>
      </c>
      <c r="AC139" s="662"/>
      <c r="AD139" s="665"/>
    </row>
    <row r="140" spans="1:30" s="348" customFormat="1">
      <c r="A140" s="918"/>
      <c r="B140" s="1450" t="s">
        <v>874</v>
      </c>
      <c r="C140" s="1450"/>
      <c r="D140" s="647"/>
      <c r="E140" s="480"/>
      <c r="F140" s="648">
        <f>F108+F106+F94+F90</f>
        <v>650</v>
      </c>
      <c r="G140" s="648"/>
      <c r="H140" s="649"/>
      <c r="I140" s="649"/>
      <c r="J140" s="649"/>
      <c r="K140" s="487">
        <f>K108+K106+K94+K90</f>
        <v>780</v>
      </c>
      <c r="L140" s="487"/>
      <c r="M140" s="487">
        <f>M108+M106+M94+M90</f>
        <v>780</v>
      </c>
      <c r="N140" s="487"/>
      <c r="O140" s="487"/>
      <c r="P140" s="487">
        <f>P108+P106+P94+P90</f>
        <v>468</v>
      </c>
      <c r="Q140" s="487"/>
      <c r="R140" s="487"/>
      <c r="S140" s="648"/>
      <c r="T140" s="474">
        <f>T108+T106+T94+T90</f>
        <v>0.1162</v>
      </c>
      <c r="U140" s="474">
        <f>U108+U106+U94+U90</f>
        <v>8.7600000000000011E-2</v>
      </c>
      <c r="V140" s="474">
        <f>V108+V106+V94+V90</f>
        <v>0.15920000000000001</v>
      </c>
      <c r="W140" s="474"/>
      <c r="X140" s="474">
        <f>X108+X106+X94+X90</f>
        <v>0.36300000000000004</v>
      </c>
      <c r="Y140" s="648"/>
      <c r="Z140" s="648"/>
      <c r="AA140" s="648"/>
      <c r="AB140" s="648"/>
      <c r="AC140" s="648"/>
      <c r="AD140" s="650"/>
    </row>
    <row r="141" spans="1:30" s="348" customFormat="1">
      <c r="A141" s="918"/>
      <c r="B141" s="1450" t="s">
        <v>876</v>
      </c>
      <c r="C141" s="1450"/>
      <c r="D141" s="647"/>
      <c r="E141" s="480"/>
      <c r="F141" s="648">
        <f>F95+F96+F97+F98</f>
        <v>843</v>
      </c>
      <c r="G141" s="648"/>
      <c r="H141" s="649"/>
      <c r="I141" s="649"/>
      <c r="J141" s="649"/>
      <c r="K141" s="487">
        <f>K95+K96+K97+K98</f>
        <v>421.5</v>
      </c>
      <c r="L141" s="487"/>
      <c r="M141" s="487">
        <f>M95+M96+M97+M98</f>
        <v>421.5</v>
      </c>
      <c r="N141" s="487"/>
      <c r="O141" s="487"/>
      <c r="P141" s="487">
        <f>P95+P96+P97+P98</f>
        <v>252.89999999999998</v>
      </c>
      <c r="Q141" s="487"/>
      <c r="R141" s="487"/>
      <c r="S141" s="648"/>
      <c r="T141" s="474">
        <f>T95+T96+T97+T98</f>
        <v>0.3372</v>
      </c>
      <c r="U141" s="474"/>
      <c r="V141" s="474">
        <f>V95+V96+V97+V98</f>
        <v>0.1686</v>
      </c>
      <c r="W141" s="474"/>
      <c r="X141" s="474">
        <f>X95+X96+X97+X98</f>
        <v>0.50580000000000003</v>
      </c>
      <c r="Y141" s="648"/>
      <c r="Z141" s="648"/>
      <c r="AA141" s="648"/>
      <c r="AB141" s="648">
        <f>AB95+AB96+AB97+AB98</f>
        <v>4</v>
      </c>
      <c r="AC141" s="648"/>
      <c r="AD141" s="650"/>
    </row>
    <row r="142" spans="1:30" s="348" customFormat="1" ht="15.75" thickBot="1">
      <c r="A142" s="846"/>
      <c r="B142" s="1455" t="s">
        <v>763</v>
      </c>
      <c r="C142" s="1455"/>
      <c r="D142" s="637"/>
      <c r="E142" s="624"/>
      <c r="F142" s="651">
        <f>F131+F132+F133+F134+F135+F136</f>
        <v>661</v>
      </c>
      <c r="G142" s="651"/>
      <c r="H142" s="652"/>
      <c r="I142" s="652"/>
      <c r="J142" s="652"/>
      <c r="K142" s="488">
        <f>K131+K132+K133+K134+K135+K136</f>
        <v>388.8</v>
      </c>
      <c r="L142" s="488"/>
      <c r="M142" s="488">
        <f>M131+M132+M133+M134+M135+M136</f>
        <v>388.8</v>
      </c>
      <c r="N142" s="488"/>
      <c r="O142" s="488"/>
      <c r="P142" s="488">
        <f>P131+P132+P133+P134+P135+P136</f>
        <v>233.28</v>
      </c>
      <c r="Q142" s="488"/>
      <c r="R142" s="488"/>
      <c r="S142" s="470">
        <f>S131+S132+S133+S134+S135+S136</f>
        <v>4.41E-2</v>
      </c>
      <c r="T142" s="470"/>
      <c r="U142" s="470">
        <f>U131+U132+U133+U134+U135+U136</f>
        <v>0.03</v>
      </c>
      <c r="V142" s="470">
        <f>V131+V132+V133+V134+V135+V136</f>
        <v>0.1203</v>
      </c>
      <c r="W142" s="470"/>
      <c r="X142" s="470">
        <f>X131+X132+X133+X134+X135+X136</f>
        <v>0.19440000000000002</v>
      </c>
      <c r="Y142" s="651"/>
      <c r="Z142" s="651"/>
      <c r="AA142" s="651"/>
      <c r="AB142" s="651"/>
      <c r="AC142" s="651"/>
      <c r="AD142" s="653"/>
    </row>
    <row r="143" spans="1:30" s="348" customFormat="1">
      <c r="A143" s="1456" t="s">
        <v>461</v>
      </c>
      <c r="B143" s="1457"/>
      <c r="C143" s="704" t="s">
        <v>448</v>
      </c>
      <c r="D143" s="697"/>
      <c r="E143" s="386"/>
      <c r="F143" s="644"/>
      <c r="G143" s="644"/>
      <c r="H143" s="645"/>
      <c r="I143" s="645"/>
      <c r="J143" s="645"/>
      <c r="K143" s="705"/>
      <c r="L143" s="510"/>
      <c r="M143" s="510"/>
      <c r="N143" s="644"/>
      <c r="O143" s="644"/>
      <c r="P143" s="510"/>
      <c r="Q143" s="644"/>
      <c r="R143" s="644"/>
      <c r="S143" s="469"/>
      <c r="T143" s="469"/>
      <c r="U143" s="469"/>
      <c r="V143" s="469"/>
      <c r="W143" s="644"/>
      <c r="X143" s="469"/>
      <c r="Y143" s="644"/>
      <c r="Z143" s="644"/>
      <c r="AA143" s="644"/>
      <c r="AB143" s="644"/>
      <c r="AC143" s="644"/>
      <c r="AD143" s="646"/>
    </row>
    <row r="144" spans="1:30" s="348" customFormat="1" ht="15.75" thickBot="1">
      <c r="A144" s="1446">
        <v>6112900030240</v>
      </c>
      <c r="B144" s="1447"/>
      <c r="C144" s="696">
        <v>102</v>
      </c>
      <c r="D144" s="360"/>
      <c r="E144" s="607"/>
      <c r="F144" s="662"/>
      <c r="G144" s="662"/>
      <c r="H144" s="663"/>
      <c r="I144" s="663"/>
      <c r="J144" s="663"/>
      <c r="K144" s="664"/>
      <c r="L144" s="509"/>
      <c r="M144" s="509"/>
      <c r="N144" s="662"/>
      <c r="O144" s="662"/>
      <c r="P144" s="509"/>
      <c r="Q144" s="662"/>
      <c r="R144" s="662"/>
      <c r="S144" s="472"/>
      <c r="T144" s="472"/>
      <c r="U144" s="472"/>
      <c r="V144" s="472"/>
      <c r="W144" s="662"/>
      <c r="X144" s="472"/>
      <c r="Y144" s="662"/>
      <c r="Z144" s="662"/>
      <c r="AA144" s="662"/>
      <c r="AB144" s="662"/>
      <c r="AC144" s="662"/>
      <c r="AD144" s="665"/>
    </row>
    <row r="145" spans="1:30" s="348" customFormat="1">
      <c r="A145" s="667"/>
      <c r="B145" s="888"/>
      <c r="C145" s="877"/>
      <c r="D145" s="668"/>
      <c r="E145" s="386"/>
      <c r="F145" s="386"/>
      <c r="G145" s="386"/>
      <c r="H145" s="668"/>
      <c r="I145" s="668"/>
      <c r="J145" s="668"/>
      <c r="K145" s="669"/>
      <c r="L145" s="670"/>
      <c r="M145" s="670"/>
      <c r="N145" s="386"/>
      <c r="O145" s="386"/>
      <c r="P145" s="670"/>
      <c r="Q145" s="386"/>
      <c r="R145" s="386"/>
      <c r="S145" s="475"/>
      <c r="T145" s="475"/>
      <c r="U145" s="475"/>
      <c r="V145" s="475"/>
      <c r="W145" s="386"/>
      <c r="X145" s="475"/>
      <c r="Y145" s="386"/>
      <c r="Z145" s="386"/>
      <c r="AA145" s="386"/>
      <c r="AB145" s="386"/>
      <c r="AC145" s="386"/>
      <c r="AD145" s="671"/>
    </row>
    <row r="146" spans="1:30" s="348" customFormat="1">
      <c r="A146" s="706">
        <v>1</v>
      </c>
      <c r="B146" s="869">
        <v>1000</v>
      </c>
      <c r="C146" s="864" t="s">
        <v>448</v>
      </c>
      <c r="D146" s="614" t="s">
        <v>708</v>
      </c>
      <c r="E146" s="864" t="s">
        <v>251</v>
      </c>
      <c r="F146" s="694">
        <v>80</v>
      </c>
      <c r="G146" s="607">
        <v>0.6</v>
      </c>
      <c r="H146" s="614">
        <v>1.75</v>
      </c>
      <c r="I146" s="615">
        <v>1</v>
      </c>
      <c r="J146" s="614">
        <v>1.5</v>
      </c>
      <c r="K146" s="617">
        <f t="shared" ref="K146:K151" si="36">J146*F146</f>
        <v>120</v>
      </c>
      <c r="L146" s="618"/>
      <c r="M146" s="618">
        <f t="shared" ref="M146:M151" si="37">K146</f>
        <v>120</v>
      </c>
      <c r="N146" s="607"/>
      <c r="O146" s="607"/>
      <c r="P146" s="618">
        <f>M146*0.6</f>
        <v>72</v>
      </c>
      <c r="Q146" s="607"/>
      <c r="R146" s="607"/>
      <c r="S146" s="390"/>
      <c r="T146" s="390">
        <f>8*F146/10000</f>
        <v>6.4000000000000001E-2</v>
      </c>
      <c r="U146" s="479"/>
      <c r="V146" s="390"/>
      <c r="W146" s="607"/>
      <c r="X146" s="390">
        <f t="shared" ref="X146:X151" si="38">SUM(S146:W146)</f>
        <v>6.4000000000000001E-2</v>
      </c>
      <c r="Y146" s="607"/>
      <c r="Z146" s="607"/>
      <c r="AA146" s="607"/>
      <c r="AB146" s="607"/>
      <c r="AC146" s="607"/>
      <c r="AD146" s="621"/>
    </row>
    <row r="147" spans="1:30" s="348" customFormat="1" ht="15" customHeight="1">
      <c r="A147" s="706">
        <v>2</v>
      </c>
      <c r="B147" s="869" t="s">
        <v>573</v>
      </c>
      <c r="C147" s="864" t="s">
        <v>448</v>
      </c>
      <c r="D147" s="614" t="s">
        <v>708</v>
      </c>
      <c r="E147" s="864" t="s">
        <v>233</v>
      </c>
      <c r="F147" s="607">
        <v>140</v>
      </c>
      <c r="G147" s="607">
        <v>0.4</v>
      </c>
      <c r="H147" s="614">
        <v>1.75</v>
      </c>
      <c r="I147" s="614">
        <v>0.6</v>
      </c>
      <c r="J147" s="614">
        <f>0.41+0.44</f>
        <v>0.85</v>
      </c>
      <c r="K147" s="617">
        <f t="shared" si="36"/>
        <v>119</v>
      </c>
      <c r="L147" s="618"/>
      <c r="M147" s="618">
        <f t="shared" si="37"/>
        <v>119</v>
      </c>
      <c r="N147" s="607"/>
      <c r="O147" s="607"/>
      <c r="P147" s="618">
        <f>(0.41*F147)*0.6</f>
        <v>34.44</v>
      </c>
      <c r="Q147" s="607"/>
      <c r="R147" s="618">
        <f>0.44*F147</f>
        <v>61.6</v>
      </c>
      <c r="S147" s="390"/>
      <c r="T147" s="390"/>
      <c r="U147" s="390">
        <f>F147*6/10000</f>
        <v>8.4000000000000005E-2</v>
      </c>
      <c r="V147" s="390"/>
      <c r="W147" s="607"/>
      <c r="X147" s="390">
        <f t="shared" si="38"/>
        <v>8.4000000000000005E-2</v>
      </c>
      <c r="Y147" s="607"/>
      <c r="Z147" s="607"/>
      <c r="AA147" s="607"/>
      <c r="AB147" s="607"/>
      <c r="AC147" s="607"/>
      <c r="AD147" s="621"/>
    </row>
    <row r="148" spans="1:30" s="348" customFormat="1">
      <c r="A148" s="706">
        <v>3</v>
      </c>
      <c r="B148" s="869" t="s">
        <v>572</v>
      </c>
      <c r="C148" s="864" t="s">
        <v>448</v>
      </c>
      <c r="D148" s="614" t="s">
        <v>708</v>
      </c>
      <c r="E148" s="864" t="s">
        <v>233</v>
      </c>
      <c r="F148" s="607">
        <v>148</v>
      </c>
      <c r="G148" s="607">
        <v>0.4</v>
      </c>
      <c r="H148" s="614">
        <v>1.75</v>
      </c>
      <c r="I148" s="614">
        <v>0.6</v>
      </c>
      <c r="J148" s="614">
        <f>0.4+0.44</f>
        <v>0.84000000000000008</v>
      </c>
      <c r="K148" s="617">
        <f t="shared" si="36"/>
        <v>124.32000000000001</v>
      </c>
      <c r="L148" s="618"/>
      <c r="M148" s="618">
        <f t="shared" si="37"/>
        <v>124.32000000000001</v>
      </c>
      <c r="N148" s="607"/>
      <c r="O148" s="607"/>
      <c r="P148" s="618">
        <f>(0.4*F148)*0.6</f>
        <v>35.520000000000003</v>
      </c>
      <c r="Q148" s="607"/>
      <c r="R148" s="618">
        <f>1.18*F148</f>
        <v>174.64</v>
      </c>
      <c r="S148" s="390"/>
      <c r="T148" s="390">
        <f>6*F148/10000</f>
        <v>8.8800000000000004E-2</v>
      </c>
      <c r="U148" s="390"/>
      <c r="V148" s="390"/>
      <c r="W148" s="607"/>
      <c r="X148" s="390">
        <f t="shared" si="38"/>
        <v>8.8800000000000004E-2</v>
      </c>
      <c r="Y148" s="607"/>
      <c r="Z148" s="607"/>
      <c r="AA148" s="607"/>
      <c r="AB148" s="607"/>
      <c r="AC148" s="607"/>
      <c r="AD148" s="621"/>
    </row>
    <row r="149" spans="1:30" s="348" customFormat="1">
      <c r="A149" s="706">
        <v>4</v>
      </c>
      <c r="B149" s="869" t="s">
        <v>574</v>
      </c>
      <c r="C149" s="864" t="s">
        <v>448</v>
      </c>
      <c r="D149" s="614" t="s">
        <v>708</v>
      </c>
      <c r="E149" s="864" t="s">
        <v>233</v>
      </c>
      <c r="F149" s="607">
        <v>297</v>
      </c>
      <c r="G149" s="607">
        <v>0.4</v>
      </c>
      <c r="H149" s="614">
        <v>1.75</v>
      </c>
      <c r="I149" s="614" t="s">
        <v>576</v>
      </c>
      <c r="J149" s="614">
        <f>0.47+1.18</f>
        <v>1.65</v>
      </c>
      <c r="K149" s="617">
        <f t="shared" si="36"/>
        <v>490.04999999999995</v>
      </c>
      <c r="L149" s="618"/>
      <c r="M149" s="618">
        <f t="shared" si="37"/>
        <v>490.04999999999995</v>
      </c>
      <c r="N149" s="607"/>
      <c r="O149" s="607"/>
      <c r="P149" s="618">
        <f>(0.47*F149)*0.6</f>
        <v>83.754000000000005</v>
      </c>
      <c r="Q149" s="607"/>
      <c r="R149" s="618">
        <f>0.51*F149</f>
        <v>151.47</v>
      </c>
      <c r="S149" s="390"/>
      <c r="T149" s="390"/>
      <c r="U149" s="390">
        <f>F149*6/10000</f>
        <v>0.1782</v>
      </c>
      <c r="V149" s="390"/>
      <c r="W149" s="607"/>
      <c r="X149" s="390">
        <f t="shared" si="38"/>
        <v>0.1782</v>
      </c>
      <c r="Y149" s="607"/>
      <c r="Z149" s="607"/>
      <c r="AA149" s="607"/>
      <c r="AB149" s="607"/>
      <c r="AC149" s="607"/>
      <c r="AD149" s="621"/>
    </row>
    <row r="150" spans="1:30" s="348" customFormat="1">
      <c r="A150" s="706">
        <v>5</v>
      </c>
      <c r="B150" s="869" t="s">
        <v>819</v>
      </c>
      <c r="C150" s="864" t="s">
        <v>448</v>
      </c>
      <c r="D150" s="614" t="s">
        <v>708</v>
      </c>
      <c r="E150" s="864" t="s">
        <v>233</v>
      </c>
      <c r="F150" s="480">
        <v>42</v>
      </c>
      <c r="G150" s="607">
        <v>0.4</v>
      </c>
      <c r="H150" s="614">
        <v>1.75</v>
      </c>
      <c r="I150" s="614" t="s">
        <v>576</v>
      </c>
      <c r="J150" s="614">
        <f>0.47+1.18</f>
        <v>1.65</v>
      </c>
      <c r="K150" s="617">
        <f t="shared" si="36"/>
        <v>69.3</v>
      </c>
      <c r="L150" s="618"/>
      <c r="M150" s="618">
        <f t="shared" si="37"/>
        <v>69.3</v>
      </c>
      <c r="N150" s="607"/>
      <c r="O150" s="607"/>
      <c r="P150" s="618">
        <f>(0.47*F150)*0.6</f>
        <v>11.843999999999999</v>
      </c>
      <c r="Q150" s="607"/>
      <c r="R150" s="618">
        <f>0.51*F150</f>
        <v>21.42</v>
      </c>
      <c r="S150" s="390"/>
      <c r="T150" s="390"/>
      <c r="U150" s="390">
        <f>F150*6/10000</f>
        <v>2.52E-2</v>
      </c>
      <c r="V150" s="390"/>
      <c r="W150" s="607"/>
      <c r="X150" s="390">
        <f t="shared" si="38"/>
        <v>2.52E-2</v>
      </c>
      <c r="Y150" s="480"/>
      <c r="Z150" s="480"/>
      <c r="AA150" s="480"/>
      <c r="AB150" s="480"/>
      <c r="AC150" s="480"/>
      <c r="AD150" s="636"/>
    </row>
    <row r="151" spans="1:30" s="348" customFormat="1" ht="15.75" thickBot="1">
      <c r="A151" s="707">
        <v>6</v>
      </c>
      <c r="B151" s="889" t="s">
        <v>575</v>
      </c>
      <c r="C151" s="862" t="s">
        <v>448</v>
      </c>
      <c r="D151" s="637" t="s">
        <v>708</v>
      </c>
      <c r="E151" s="862" t="s">
        <v>233</v>
      </c>
      <c r="F151" s="624">
        <v>235</v>
      </c>
      <c r="G151" s="624">
        <v>0.4</v>
      </c>
      <c r="H151" s="637">
        <v>1.75</v>
      </c>
      <c r="I151" s="637">
        <v>0.65</v>
      </c>
      <c r="J151" s="637">
        <f>0.44+0.64</f>
        <v>1.08</v>
      </c>
      <c r="K151" s="638">
        <f t="shared" si="36"/>
        <v>253.8</v>
      </c>
      <c r="L151" s="639"/>
      <c r="M151" s="639">
        <f t="shared" si="37"/>
        <v>253.8</v>
      </c>
      <c r="N151" s="624"/>
      <c r="O151" s="624"/>
      <c r="P151" s="639">
        <f>(0.44*F151)*0.6</f>
        <v>62.04</v>
      </c>
      <c r="Q151" s="624"/>
      <c r="R151" s="639">
        <f>0.64*F151</f>
        <v>150.4</v>
      </c>
      <c r="S151" s="467"/>
      <c r="T151" s="467"/>
      <c r="U151" s="467">
        <f>F151*6/10000</f>
        <v>0.14099999999999999</v>
      </c>
      <c r="V151" s="467"/>
      <c r="W151" s="624"/>
      <c r="X151" s="467">
        <f t="shared" si="38"/>
        <v>0.14099999999999999</v>
      </c>
      <c r="Y151" s="624"/>
      <c r="Z151" s="624"/>
      <c r="AA151" s="624"/>
      <c r="AB151" s="624"/>
      <c r="AC151" s="624"/>
      <c r="AD151" s="625"/>
    </row>
    <row r="152" spans="1:30" s="348" customFormat="1" ht="15.75" thickBot="1">
      <c r="A152" s="708"/>
      <c r="B152" s="1448" t="s">
        <v>438</v>
      </c>
      <c r="C152" s="1449"/>
      <c r="D152" s="709"/>
      <c r="E152" s="867"/>
      <c r="F152" s="710">
        <f>SUM(F146:F151)</f>
        <v>942</v>
      </c>
      <c r="G152" s="687"/>
      <c r="H152" s="688"/>
      <c r="I152" s="688"/>
      <c r="J152" s="688"/>
      <c r="K152" s="779">
        <f>SUM(K146:K151)</f>
        <v>1176.4699999999998</v>
      </c>
      <c r="L152" s="620"/>
      <c r="M152" s="779">
        <f>SUM(M146:M151)</f>
        <v>1176.4699999999998</v>
      </c>
      <c r="N152" s="620"/>
      <c r="O152" s="620"/>
      <c r="P152" s="779">
        <f>SUM(P146:P151)</f>
        <v>299.59800000000001</v>
      </c>
      <c r="Q152" s="620"/>
      <c r="R152" s="779">
        <f>SUM(R146:R151)</f>
        <v>559.53</v>
      </c>
      <c r="S152" s="468"/>
      <c r="T152" s="778">
        <f>SUM(T146:T151)</f>
        <v>0.15279999999999999</v>
      </c>
      <c r="U152" s="778">
        <f>SUM(U146:U151)</f>
        <v>0.4284</v>
      </c>
      <c r="V152" s="468"/>
      <c r="W152" s="468"/>
      <c r="X152" s="778">
        <f>SUM(X146:X151)</f>
        <v>0.58120000000000005</v>
      </c>
      <c r="Y152" s="687"/>
      <c r="Z152" s="626"/>
      <c r="AA152" s="626"/>
      <c r="AB152" s="626"/>
      <c r="AC152" s="626"/>
      <c r="AD152" s="627"/>
    </row>
    <row r="153" spans="1:30" s="348" customFormat="1">
      <c r="A153" s="643"/>
      <c r="B153" s="1452" t="s">
        <v>459</v>
      </c>
      <c r="C153" s="1452"/>
      <c r="D153" s="668"/>
      <c r="E153" s="868"/>
      <c r="F153" s="644">
        <f>F146</f>
        <v>80</v>
      </c>
      <c r="G153" s="644"/>
      <c r="H153" s="645"/>
      <c r="I153" s="645"/>
      <c r="J153" s="645"/>
      <c r="K153" s="510">
        <f>K146</f>
        <v>120</v>
      </c>
      <c r="L153" s="510"/>
      <c r="M153" s="510">
        <f>M146</f>
        <v>120</v>
      </c>
      <c r="N153" s="510"/>
      <c r="O153" s="510"/>
      <c r="P153" s="510">
        <f>P146</f>
        <v>72</v>
      </c>
      <c r="Q153" s="510"/>
      <c r="R153" s="510"/>
      <c r="S153" s="469"/>
      <c r="T153" s="469">
        <f>T146</f>
        <v>6.4000000000000001E-2</v>
      </c>
      <c r="U153" s="469"/>
      <c r="V153" s="469"/>
      <c r="W153" s="469"/>
      <c r="X153" s="469">
        <f>X146</f>
        <v>6.4000000000000001E-2</v>
      </c>
      <c r="Y153" s="644"/>
      <c r="Z153" s="386"/>
      <c r="AA153" s="386"/>
      <c r="AB153" s="386"/>
      <c r="AC153" s="386"/>
      <c r="AD153" s="671"/>
    </row>
    <row r="154" spans="1:30" s="348" customFormat="1" ht="15.75" thickBot="1">
      <c r="A154" s="707"/>
      <c r="B154" s="1455" t="s">
        <v>577</v>
      </c>
      <c r="C154" s="1455"/>
      <c r="D154" s="637"/>
      <c r="E154" s="862"/>
      <c r="F154" s="651">
        <f>F147+F148+F149+F151+F150</f>
        <v>862</v>
      </c>
      <c r="G154" s="651"/>
      <c r="H154" s="652"/>
      <c r="I154" s="652"/>
      <c r="J154" s="652"/>
      <c r="K154" s="488">
        <f>K147+K148+K149+K151+K150</f>
        <v>1056.4699999999998</v>
      </c>
      <c r="L154" s="488"/>
      <c r="M154" s="488">
        <f>M147+M148+M149+M151+M150</f>
        <v>1056.4699999999998</v>
      </c>
      <c r="N154" s="488"/>
      <c r="O154" s="488"/>
      <c r="P154" s="488">
        <f>P147+P148+P149+P151+P150</f>
        <v>227.59799999999998</v>
      </c>
      <c r="Q154" s="488"/>
      <c r="R154" s="488">
        <f>R147+R148+R149+R151+R150</f>
        <v>559.53</v>
      </c>
      <c r="S154" s="470"/>
      <c r="T154" s="470">
        <f>T147+T148+T149+T151+T150</f>
        <v>8.8800000000000004E-2</v>
      </c>
      <c r="U154" s="470">
        <f>U147+U148+U149+U151+U150</f>
        <v>0.4284</v>
      </c>
      <c r="V154" s="470"/>
      <c r="W154" s="470"/>
      <c r="X154" s="470">
        <f>X147+X148+X149+X151+X150</f>
        <v>0.51719999999999999</v>
      </c>
      <c r="Y154" s="651"/>
      <c r="Z154" s="624"/>
      <c r="AA154" s="624"/>
      <c r="AB154" s="624"/>
      <c r="AC154" s="624"/>
      <c r="AD154" s="625"/>
    </row>
    <row r="155" spans="1:30" s="348" customFormat="1" ht="15.75" thickBot="1">
      <c r="A155" s="654"/>
      <c r="B155" s="877"/>
      <c r="C155" s="866"/>
      <c r="D155" s="695"/>
      <c r="E155" s="860"/>
      <c r="F155" s="387"/>
      <c r="G155" s="387"/>
      <c r="H155" s="655"/>
      <c r="I155" s="655"/>
      <c r="J155" s="655"/>
      <c r="K155" s="691"/>
      <c r="L155" s="692"/>
      <c r="M155" s="692"/>
      <c r="N155" s="387"/>
      <c r="O155" s="387"/>
      <c r="P155" s="692"/>
      <c r="Q155" s="387"/>
      <c r="R155" s="387"/>
      <c r="S155" s="478"/>
      <c r="T155" s="478"/>
      <c r="U155" s="478"/>
      <c r="V155" s="478"/>
      <c r="W155" s="387"/>
      <c r="X155" s="478"/>
      <c r="Y155" s="387"/>
      <c r="Z155" s="387"/>
      <c r="AA155" s="387"/>
      <c r="AB155" s="387"/>
      <c r="AC155" s="387"/>
      <c r="AD155" s="693"/>
    </row>
    <row r="156" spans="1:30" s="348" customFormat="1">
      <c r="A156" s="1468" t="s">
        <v>462</v>
      </c>
      <c r="B156" s="1469"/>
      <c r="C156" s="661" t="s">
        <v>449</v>
      </c>
      <c r="D156" s="360"/>
      <c r="E156" s="864"/>
      <c r="F156" s="607"/>
      <c r="G156" s="607"/>
      <c r="H156" s="614"/>
      <c r="I156" s="614"/>
      <c r="J156" s="614"/>
      <c r="K156" s="617"/>
      <c r="L156" s="618"/>
      <c r="M156" s="618"/>
      <c r="N156" s="607"/>
      <c r="O156" s="607"/>
      <c r="P156" s="618"/>
      <c r="Q156" s="607"/>
      <c r="R156" s="607"/>
      <c r="S156" s="390"/>
      <c r="T156" s="390"/>
      <c r="U156" s="390"/>
      <c r="V156" s="390"/>
      <c r="W156" s="607"/>
      <c r="X156" s="390"/>
      <c r="Y156" s="607"/>
      <c r="Z156" s="607"/>
      <c r="AA156" s="607"/>
      <c r="AB156" s="607"/>
      <c r="AC156" s="607"/>
      <c r="AD156" s="621"/>
    </row>
    <row r="157" spans="1:30" s="348" customFormat="1" ht="15.75" thickBot="1">
      <c r="A157" s="1446">
        <v>6112900030220</v>
      </c>
      <c r="B157" s="1447"/>
      <c r="C157" s="711">
        <v>101</v>
      </c>
      <c r="D157" s="360"/>
      <c r="E157" s="864"/>
      <c r="F157" s="607"/>
      <c r="G157" s="607"/>
      <c r="H157" s="614"/>
      <c r="I157" s="614"/>
      <c r="J157" s="614"/>
      <c r="K157" s="617"/>
      <c r="L157" s="618"/>
      <c r="M157" s="618"/>
      <c r="N157" s="607"/>
      <c r="O157" s="607"/>
      <c r="P157" s="618"/>
      <c r="Q157" s="607"/>
      <c r="R157" s="607"/>
      <c r="S157" s="390"/>
      <c r="T157" s="390"/>
      <c r="U157" s="390"/>
      <c r="V157" s="390"/>
      <c r="W157" s="607"/>
      <c r="X157" s="390"/>
      <c r="Y157" s="607"/>
      <c r="Z157" s="607"/>
      <c r="AA157" s="607"/>
      <c r="AB157" s="607"/>
      <c r="AC157" s="607"/>
      <c r="AD157" s="621"/>
    </row>
    <row r="158" spans="1:30" s="348" customFormat="1">
      <c r="A158" s="643">
        <v>1</v>
      </c>
      <c r="B158" s="888">
        <v>1100</v>
      </c>
      <c r="C158" s="868" t="s">
        <v>449</v>
      </c>
      <c r="D158" s="712" t="s">
        <v>704</v>
      </c>
      <c r="E158" s="864" t="s">
        <v>251</v>
      </c>
      <c r="F158" s="607">
        <v>136</v>
      </c>
      <c r="G158" s="607">
        <v>0.6</v>
      </c>
      <c r="H158" s="614">
        <v>1.75</v>
      </c>
      <c r="I158" s="615">
        <v>1</v>
      </c>
      <c r="J158" s="614">
        <v>0.6</v>
      </c>
      <c r="K158" s="617">
        <f t="shared" ref="K158:K162" si="39">J158*F158</f>
        <v>81.599999999999994</v>
      </c>
      <c r="L158" s="618"/>
      <c r="M158" s="618">
        <f>K158</f>
        <v>81.599999999999994</v>
      </c>
      <c r="N158" s="607"/>
      <c r="O158" s="607"/>
      <c r="P158" s="618">
        <f>(J158*F158)*0.6</f>
        <v>48.959999999999994</v>
      </c>
      <c r="Q158" s="607"/>
      <c r="R158" s="607"/>
      <c r="S158" s="390"/>
      <c r="T158" s="390"/>
      <c r="U158" s="390"/>
      <c r="V158" s="390"/>
      <c r="W158" s="607"/>
      <c r="X158" s="390"/>
      <c r="Y158" s="607"/>
      <c r="Z158" s="607"/>
      <c r="AA158" s="607"/>
      <c r="AB158" s="607"/>
      <c r="AC158" s="607"/>
      <c r="AD158" s="621"/>
    </row>
    <row r="159" spans="1:30" s="348" customFormat="1">
      <c r="A159" s="706">
        <v>2</v>
      </c>
      <c r="B159" s="869">
        <v>1101</v>
      </c>
      <c r="C159" s="868" t="s">
        <v>449</v>
      </c>
      <c r="D159" s="360" t="s">
        <v>703</v>
      </c>
      <c r="E159" s="864" t="s">
        <v>251</v>
      </c>
      <c r="F159" s="607">
        <v>123</v>
      </c>
      <c r="G159" s="607">
        <v>0.6</v>
      </c>
      <c r="H159" s="614">
        <v>1.75</v>
      </c>
      <c r="I159" s="615">
        <v>1</v>
      </c>
      <c r="J159" s="614">
        <v>0.6</v>
      </c>
      <c r="K159" s="617">
        <f t="shared" si="39"/>
        <v>73.8</v>
      </c>
      <c r="L159" s="618"/>
      <c r="M159" s="618">
        <f>K159</f>
        <v>73.8</v>
      </c>
      <c r="N159" s="607"/>
      <c r="O159" s="607"/>
      <c r="P159" s="618">
        <f>(J159*F159)*0.6</f>
        <v>44.279999999999994</v>
      </c>
      <c r="Q159" s="607"/>
      <c r="R159" s="607"/>
      <c r="S159" s="390"/>
      <c r="T159" s="390">
        <f>8*F159/10000</f>
        <v>9.8400000000000001E-2</v>
      </c>
      <c r="U159" s="390"/>
      <c r="V159" s="390"/>
      <c r="W159" s="607"/>
      <c r="X159" s="390">
        <f t="shared" ref="X159:X165" si="40">SUM(S159:W159)</f>
        <v>9.8400000000000001E-2</v>
      </c>
      <c r="Y159" s="607"/>
      <c r="Z159" s="607"/>
      <c r="AA159" s="607"/>
      <c r="AB159" s="607"/>
      <c r="AC159" s="607"/>
      <c r="AD159" s="621"/>
    </row>
    <row r="160" spans="1:30" s="348" customFormat="1">
      <c r="A160" s="706">
        <v>3</v>
      </c>
      <c r="B160" s="869">
        <v>1101</v>
      </c>
      <c r="C160" s="868" t="s">
        <v>449</v>
      </c>
      <c r="D160" s="360" t="s">
        <v>703</v>
      </c>
      <c r="E160" s="869" t="s">
        <v>252</v>
      </c>
      <c r="F160" s="607">
        <v>38</v>
      </c>
      <c r="G160" s="607">
        <v>0.4</v>
      </c>
      <c r="H160" s="614">
        <v>1.75</v>
      </c>
      <c r="I160" s="615">
        <v>1</v>
      </c>
      <c r="J160" s="614">
        <f>0.38+0.61</f>
        <v>0.99</v>
      </c>
      <c r="K160" s="617">
        <f t="shared" si="39"/>
        <v>37.619999999999997</v>
      </c>
      <c r="L160" s="618"/>
      <c r="M160" s="618">
        <f>K160</f>
        <v>37.619999999999997</v>
      </c>
      <c r="N160" s="607"/>
      <c r="O160" s="607"/>
      <c r="P160" s="618">
        <f>(0.38*F160)*0.6</f>
        <v>8.6639999999999997</v>
      </c>
      <c r="Q160" s="607"/>
      <c r="R160" s="618">
        <f>0.61*F160</f>
        <v>23.18</v>
      </c>
      <c r="S160" s="390"/>
      <c r="T160" s="390">
        <f>8*F160/10000</f>
        <v>3.04E-2</v>
      </c>
      <c r="U160" s="390"/>
      <c r="V160" s="390"/>
      <c r="W160" s="607"/>
      <c r="X160" s="390">
        <f t="shared" si="40"/>
        <v>3.04E-2</v>
      </c>
      <c r="Y160" s="607"/>
      <c r="Z160" s="607"/>
      <c r="AA160" s="607"/>
      <c r="AB160" s="607"/>
      <c r="AC160" s="607"/>
      <c r="AD160" s="621"/>
    </row>
    <row r="161" spans="1:30" s="348" customFormat="1">
      <c r="A161" s="643">
        <v>4</v>
      </c>
      <c r="B161" s="917" t="s">
        <v>578</v>
      </c>
      <c r="C161" s="868" t="s">
        <v>449</v>
      </c>
      <c r="D161" s="360" t="s">
        <v>704</v>
      </c>
      <c r="E161" s="864" t="s">
        <v>233</v>
      </c>
      <c r="F161" s="915">
        <v>137</v>
      </c>
      <c r="G161" s="607">
        <v>0.4</v>
      </c>
      <c r="H161" s="614">
        <v>1.75</v>
      </c>
      <c r="I161" s="614">
        <v>0.6</v>
      </c>
      <c r="J161" s="614">
        <f>0.38+0.57</f>
        <v>0.95</v>
      </c>
      <c r="K161" s="617">
        <f t="shared" si="39"/>
        <v>130.15</v>
      </c>
      <c r="L161" s="618"/>
      <c r="M161" s="618">
        <f t="shared" ref="M161:M162" si="41">K161</f>
        <v>130.15</v>
      </c>
      <c r="N161" s="607"/>
      <c r="O161" s="607"/>
      <c r="P161" s="618">
        <f>(0.38*F161)*0.6</f>
        <v>31.236000000000001</v>
      </c>
      <c r="Q161" s="607"/>
      <c r="R161" s="618">
        <f>0.57*F161</f>
        <v>78.089999999999989</v>
      </c>
      <c r="S161" s="390"/>
      <c r="T161" s="390"/>
      <c r="U161" s="390">
        <f t="shared" ref="U161" si="42">F161*6/10000</f>
        <v>8.2199999999999995E-2</v>
      </c>
      <c r="V161" s="390"/>
      <c r="W161" s="607"/>
      <c r="X161" s="390">
        <f t="shared" si="40"/>
        <v>8.2199999999999995E-2</v>
      </c>
      <c r="Y161" s="607"/>
      <c r="Z161" s="607"/>
      <c r="AA161" s="607"/>
      <c r="AB161" s="607"/>
      <c r="AC161" s="607"/>
      <c r="AD161" s="621"/>
    </row>
    <row r="162" spans="1:30" s="348" customFormat="1">
      <c r="A162" s="706">
        <v>5</v>
      </c>
      <c r="B162" s="869" t="s">
        <v>579</v>
      </c>
      <c r="C162" s="868" t="s">
        <v>449</v>
      </c>
      <c r="D162" s="360" t="s">
        <v>704</v>
      </c>
      <c r="E162" s="864" t="s">
        <v>233</v>
      </c>
      <c r="F162" s="607">
        <v>170</v>
      </c>
      <c r="G162" s="607">
        <v>0.4</v>
      </c>
      <c r="H162" s="614">
        <v>1.75</v>
      </c>
      <c r="I162" s="614">
        <v>0.6</v>
      </c>
      <c r="J162" s="614">
        <f>0.38+0.61</f>
        <v>0.99</v>
      </c>
      <c r="K162" s="617">
        <f t="shared" si="39"/>
        <v>168.3</v>
      </c>
      <c r="L162" s="618"/>
      <c r="M162" s="618">
        <f t="shared" si="41"/>
        <v>168.3</v>
      </c>
      <c r="N162" s="607"/>
      <c r="O162" s="607"/>
      <c r="P162" s="618">
        <f>(0.38*F162)*0.6</f>
        <v>38.76</v>
      </c>
      <c r="Q162" s="607"/>
      <c r="R162" s="618">
        <f>0.61*F162</f>
        <v>103.7</v>
      </c>
      <c r="S162" s="390"/>
      <c r="T162" s="390">
        <f>6*F162/10000</f>
        <v>0.10199999999999999</v>
      </c>
      <c r="U162" s="390"/>
      <c r="V162" s="390"/>
      <c r="W162" s="607"/>
      <c r="X162" s="390">
        <f t="shared" si="40"/>
        <v>0.10199999999999999</v>
      </c>
      <c r="Y162" s="607"/>
      <c r="Z162" s="607"/>
      <c r="AA162" s="607"/>
      <c r="AB162" s="607"/>
      <c r="AC162" s="607"/>
      <c r="AD162" s="621"/>
    </row>
    <row r="163" spans="1:30" s="348" customFormat="1">
      <c r="A163" s="706">
        <v>6</v>
      </c>
      <c r="B163" s="869" t="s">
        <v>764</v>
      </c>
      <c r="C163" s="868" t="s">
        <v>449</v>
      </c>
      <c r="D163" s="360" t="s">
        <v>708</v>
      </c>
      <c r="E163" s="864"/>
      <c r="F163" s="607">
        <v>116</v>
      </c>
      <c r="G163" s="607"/>
      <c r="H163" s="614"/>
      <c r="I163" s="614"/>
      <c r="J163" s="614"/>
      <c r="K163" s="617"/>
      <c r="L163" s="618"/>
      <c r="M163" s="618"/>
      <c r="N163" s="607"/>
      <c r="O163" s="607"/>
      <c r="P163" s="618"/>
      <c r="Q163" s="607"/>
      <c r="R163" s="618"/>
      <c r="S163" s="390"/>
      <c r="T163" s="390">
        <f>(F163*3)/10000</f>
        <v>3.4799999999999998E-2</v>
      </c>
      <c r="U163" s="390"/>
      <c r="V163" s="390"/>
      <c r="W163" s="607"/>
      <c r="X163" s="390">
        <f t="shared" si="40"/>
        <v>3.4799999999999998E-2</v>
      </c>
      <c r="Y163" s="607"/>
      <c r="Z163" s="607"/>
      <c r="AA163" s="607"/>
      <c r="AB163" s="607"/>
      <c r="AC163" s="607"/>
      <c r="AD163" s="621"/>
    </row>
    <row r="164" spans="1:30" s="348" customFormat="1">
      <c r="A164" s="643">
        <v>7</v>
      </c>
      <c r="B164" s="869" t="s">
        <v>765</v>
      </c>
      <c r="C164" s="864" t="s">
        <v>449</v>
      </c>
      <c r="D164" s="360" t="s">
        <v>704</v>
      </c>
      <c r="E164" s="919"/>
      <c r="F164" s="607">
        <v>567</v>
      </c>
      <c r="G164" s="607"/>
      <c r="H164" s="614"/>
      <c r="I164" s="614"/>
      <c r="J164" s="614"/>
      <c r="K164" s="617"/>
      <c r="L164" s="618"/>
      <c r="M164" s="618"/>
      <c r="N164" s="607"/>
      <c r="O164" s="607"/>
      <c r="P164" s="618"/>
      <c r="Q164" s="607"/>
      <c r="R164" s="618"/>
      <c r="S164" s="390"/>
      <c r="T164" s="390"/>
      <c r="U164" s="390">
        <f>(3*F164)/10000</f>
        <v>0.1701</v>
      </c>
      <c r="V164" s="390"/>
      <c r="W164" s="607"/>
      <c r="X164" s="390">
        <f t="shared" si="40"/>
        <v>0.1701</v>
      </c>
      <c r="Y164" s="607"/>
      <c r="Z164" s="607"/>
      <c r="AA164" s="607"/>
      <c r="AB164" s="607"/>
      <c r="AC164" s="607"/>
      <c r="AD164" s="621"/>
    </row>
    <row r="165" spans="1:30" s="348" customFormat="1" ht="15.75" thickBot="1">
      <c r="A165" s="706">
        <v>8</v>
      </c>
      <c r="B165" s="877" t="s">
        <v>766</v>
      </c>
      <c r="C165" s="866" t="s">
        <v>449</v>
      </c>
      <c r="D165" s="698" t="s">
        <v>870</v>
      </c>
      <c r="E165" s="873"/>
      <c r="F165" s="387">
        <v>682</v>
      </c>
      <c r="G165" s="387"/>
      <c r="H165" s="655"/>
      <c r="I165" s="655"/>
      <c r="J165" s="655"/>
      <c r="K165" s="691"/>
      <c r="L165" s="692"/>
      <c r="M165" s="692"/>
      <c r="N165" s="387"/>
      <c r="O165" s="387"/>
      <c r="P165" s="692"/>
      <c r="Q165" s="387"/>
      <c r="R165" s="692"/>
      <c r="S165" s="478"/>
      <c r="T165" s="478"/>
      <c r="U165" s="479">
        <f>(3*F165)/10000</f>
        <v>0.2046</v>
      </c>
      <c r="V165" s="478"/>
      <c r="W165" s="387"/>
      <c r="X165" s="390">
        <f t="shared" si="40"/>
        <v>0.2046</v>
      </c>
      <c r="Y165" s="387"/>
      <c r="Z165" s="387"/>
      <c r="AA165" s="387"/>
      <c r="AB165" s="387"/>
      <c r="AC165" s="387"/>
      <c r="AD165" s="693"/>
    </row>
    <row r="166" spans="1:30" ht="15.75" thickBot="1">
      <c r="A166" s="212"/>
      <c r="B166" s="1448" t="s">
        <v>438</v>
      </c>
      <c r="C166" s="1449"/>
      <c r="D166" s="275"/>
      <c r="E166" s="870"/>
      <c r="F166" s="268">
        <f>SUM(F158:F165)</f>
        <v>1969</v>
      </c>
      <c r="G166" s="268"/>
      <c r="H166" s="269"/>
      <c r="I166" s="269"/>
      <c r="J166" s="269"/>
      <c r="K166" s="272">
        <f>SUM(K158:K165)</f>
        <v>491.46999999999997</v>
      </c>
      <c r="L166" s="272"/>
      <c r="M166" s="272">
        <f>SUM(M158:M165)</f>
        <v>491.46999999999997</v>
      </c>
      <c r="N166" s="272"/>
      <c r="O166" s="272"/>
      <c r="P166" s="272">
        <f>SUM(P158:P165)</f>
        <v>171.89999999999998</v>
      </c>
      <c r="Q166" s="272"/>
      <c r="R166" s="272">
        <f>SUM(R158:R165)</f>
        <v>204.96999999999997</v>
      </c>
      <c r="S166" s="273"/>
      <c r="T166" s="273">
        <f t="shared" ref="T166:U166" si="43">SUM(T158:T165)</f>
        <v>0.2656</v>
      </c>
      <c r="U166" s="273">
        <f t="shared" si="43"/>
        <v>0.45689999999999997</v>
      </c>
      <c r="V166" s="273"/>
      <c r="W166" s="268"/>
      <c r="X166" s="273">
        <f>SUM(X158:X165)</f>
        <v>0.72250000000000003</v>
      </c>
      <c r="Y166" s="268"/>
      <c r="Z166" s="215"/>
      <c r="AA166" s="215"/>
      <c r="AB166" s="215"/>
      <c r="AC166" s="215"/>
      <c r="AD166" s="213"/>
    </row>
    <row r="167" spans="1:30">
      <c r="A167" s="113"/>
      <c r="B167" s="1453" t="s">
        <v>459</v>
      </c>
      <c r="C167" s="1453"/>
      <c r="D167" s="930"/>
      <c r="E167" s="931"/>
      <c r="F167" s="571">
        <f>F158+F159</f>
        <v>259</v>
      </c>
      <c r="G167" s="571"/>
      <c r="H167" s="750"/>
      <c r="I167" s="750"/>
      <c r="J167" s="750"/>
      <c r="K167" s="751">
        <f>K158+K159</f>
        <v>155.39999999999998</v>
      </c>
      <c r="L167" s="751"/>
      <c r="M167" s="751">
        <f>M158+M159</f>
        <v>155.39999999999998</v>
      </c>
      <c r="N167" s="751"/>
      <c r="O167" s="751"/>
      <c r="P167" s="751">
        <f>P158+P159</f>
        <v>93.239999999999981</v>
      </c>
      <c r="Q167" s="751"/>
      <c r="R167" s="751"/>
      <c r="S167" s="752"/>
      <c r="T167" s="752">
        <f t="shared" ref="T167" si="44">T158+T159</f>
        <v>9.8400000000000001E-2</v>
      </c>
      <c r="U167" s="752"/>
      <c r="V167" s="752"/>
      <c r="W167" s="571"/>
      <c r="X167" s="752">
        <f>X158+X159</f>
        <v>9.8400000000000001E-2</v>
      </c>
      <c r="Y167" s="571"/>
      <c r="Z167" s="61"/>
      <c r="AA167" s="61"/>
      <c r="AB167" s="61"/>
      <c r="AC167" s="61"/>
      <c r="AD167" s="114"/>
    </row>
    <row r="168" spans="1:30">
      <c r="A168" s="321"/>
      <c r="B168" s="1450" t="s">
        <v>580</v>
      </c>
      <c r="C168" s="1450"/>
      <c r="D168" s="115"/>
      <c r="E168" s="315"/>
      <c r="F168" s="291">
        <f>F160</f>
        <v>38</v>
      </c>
      <c r="G168" s="291"/>
      <c r="H168" s="292"/>
      <c r="I168" s="292"/>
      <c r="J168" s="292"/>
      <c r="K168" s="295">
        <f>K160</f>
        <v>37.619999999999997</v>
      </c>
      <c r="L168" s="295"/>
      <c r="M168" s="295">
        <f>M160</f>
        <v>37.619999999999997</v>
      </c>
      <c r="N168" s="295"/>
      <c r="O168" s="295"/>
      <c r="P168" s="295">
        <f>P160</f>
        <v>8.6639999999999997</v>
      </c>
      <c r="Q168" s="295"/>
      <c r="R168" s="295">
        <f>R160</f>
        <v>23.18</v>
      </c>
      <c r="S168" s="296"/>
      <c r="T168" s="296">
        <f t="shared" ref="T168" si="45">T160</f>
        <v>3.04E-2</v>
      </c>
      <c r="U168" s="296"/>
      <c r="V168" s="296"/>
      <c r="W168" s="291"/>
      <c r="X168" s="296">
        <f>X160</f>
        <v>3.04E-2</v>
      </c>
      <c r="Y168" s="291"/>
      <c r="Z168" s="62"/>
      <c r="AA168" s="62"/>
      <c r="AB168" s="62"/>
      <c r="AC168" s="62"/>
      <c r="AD168" s="13"/>
    </row>
    <row r="169" spans="1:30" s="482" customFormat="1">
      <c r="A169" s="321"/>
      <c r="B169" s="1450" t="s">
        <v>577</v>
      </c>
      <c r="C169" s="1450"/>
      <c r="D169" s="913"/>
      <c r="E169" s="315"/>
      <c r="F169" s="68">
        <f>F161+F162</f>
        <v>307</v>
      </c>
      <c r="G169" s="68"/>
      <c r="H169" s="913"/>
      <c r="I169" s="913"/>
      <c r="J169" s="913"/>
      <c r="K169" s="512">
        <f>K161+K162</f>
        <v>298.45000000000005</v>
      </c>
      <c r="L169" s="512"/>
      <c r="M169" s="512">
        <f>M161+M162</f>
        <v>298.45000000000005</v>
      </c>
      <c r="N169" s="512"/>
      <c r="O169" s="512"/>
      <c r="P169" s="512">
        <f>P161+P162</f>
        <v>69.995999999999995</v>
      </c>
      <c r="Q169" s="512"/>
      <c r="R169" s="512">
        <f>R161+R162</f>
        <v>181.79</v>
      </c>
      <c r="S169" s="914"/>
      <c r="T169" s="914">
        <f t="shared" ref="T169:U169" si="46">T161+T162</f>
        <v>0.10199999999999999</v>
      </c>
      <c r="U169" s="914">
        <f t="shared" si="46"/>
        <v>8.2199999999999995E-2</v>
      </c>
      <c r="V169" s="914"/>
      <c r="W169" s="68"/>
      <c r="X169" s="914">
        <f>X161+X162</f>
        <v>0.18419999999999997</v>
      </c>
      <c r="Y169" s="68"/>
      <c r="Z169" s="68"/>
      <c r="AA169" s="68"/>
      <c r="AB169" s="68"/>
      <c r="AC169" s="68"/>
      <c r="AD169" s="64"/>
    </row>
    <row r="170" spans="1:30" s="482" customFormat="1" ht="15.75" thickBot="1">
      <c r="A170" s="116"/>
      <c r="B170" s="1455" t="s">
        <v>763</v>
      </c>
      <c r="C170" s="1455"/>
      <c r="D170" s="932"/>
      <c r="E170" s="933"/>
      <c r="F170" s="934">
        <f>F163+F164+F165</f>
        <v>1365</v>
      </c>
      <c r="G170" s="934"/>
      <c r="H170" s="932"/>
      <c r="I170" s="932"/>
      <c r="J170" s="932"/>
      <c r="K170" s="935"/>
      <c r="L170" s="935"/>
      <c r="M170" s="935"/>
      <c r="N170" s="935"/>
      <c r="O170" s="935"/>
      <c r="P170" s="935"/>
      <c r="Q170" s="935"/>
      <c r="R170" s="935"/>
      <c r="S170" s="936"/>
      <c r="T170" s="936">
        <f t="shared" ref="T170:U170" si="47">T163+T164+T165</f>
        <v>3.4799999999999998E-2</v>
      </c>
      <c r="U170" s="936">
        <f t="shared" si="47"/>
        <v>0.37470000000000003</v>
      </c>
      <c r="V170" s="936"/>
      <c r="W170" s="934"/>
      <c r="X170" s="936">
        <f>X163+X164+X165</f>
        <v>0.40949999999999998</v>
      </c>
      <c r="Y170" s="934"/>
      <c r="Z170" s="934"/>
      <c r="AA170" s="934"/>
      <c r="AB170" s="934"/>
      <c r="AC170" s="934"/>
      <c r="AD170" s="66"/>
    </row>
    <row r="171" spans="1:30" ht="15.75" thickBot="1">
      <c r="A171" s="920"/>
      <c r="B171" s="921"/>
      <c r="C171" s="921"/>
      <c r="D171" s="922"/>
      <c r="E171" s="923"/>
      <c r="F171" s="924"/>
      <c r="G171" s="924"/>
      <c r="H171" s="922"/>
      <c r="I171" s="922"/>
      <c r="J171" s="922"/>
      <c r="K171" s="925"/>
      <c r="L171" s="926"/>
      <c r="M171" s="926"/>
      <c r="N171" s="924"/>
      <c r="O171" s="924"/>
      <c r="P171" s="926"/>
      <c r="Q171" s="924"/>
      <c r="R171" s="924"/>
      <c r="S171" s="927"/>
      <c r="T171" s="927"/>
      <c r="U171" s="927"/>
      <c r="V171" s="927"/>
      <c r="W171" s="924"/>
      <c r="X171" s="928"/>
      <c r="Y171" s="924"/>
      <c r="Z171" s="924"/>
      <c r="AA171" s="924"/>
      <c r="AB171" s="924"/>
      <c r="AC171" s="924"/>
      <c r="AD171" s="929"/>
    </row>
    <row r="172" spans="1:30" ht="15.75" thickBot="1">
      <c r="A172" s="212"/>
      <c r="B172" s="1448" t="s">
        <v>438</v>
      </c>
      <c r="C172" s="1449"/>
      <c r="D172" s="275"/>
      <c r="E172" s="870"/>
      <c r="F172" s="268">
        <f>F152+F137+F71+F25+F166+F36</f>
        <v>30951</v>
      </c>
      <c r="G172" s="268"/>
      <c r="H172" s="269"/>
      <c r="I172" s="269"/>
      <c r="J172" s="269"/>
      <c r="K172" s="272">
        <f>K152+K137+K71+K25+K166+K36</f>
        <v>44771.58</v>
      </c>
      <c r="L172" s="272"/>
      <c r="M172" s="272">
        <f>M152+M137+M71+M25+M166+M36</f>
        <v>44771.58</v>
      </c>
      <c r="N172" s="272"/>
      <c r="O172" s="272"/>
      <c r="P172" s="272">
        <f>P152+P137+P71+P25+P166+P36</f>
        <v>23726.884000000005</v>
      </c>
      <c r="Q172" s="268">
        <f>Q152+Q137+Q71+Q25+Q166+Q36</f>
        <v>1484</v>
      </c>
      <c r="R172" s="272">
        <f>R152+R137+R71+R25+R166+R36</f>
        <v>5110.7299999999996</v>
      </c>
      <c r="S172" s="273">
        <f>S152+S137+S71+S25+S166+S36</f>
        <v>4.41E-2</v>
      </c>
      <c r="T172" s="273">
        <f>T152+T137+T71+T25+T166+T36</f>
        <v>7.3812999999999995</v>
      </c>
      <c r="U172" s="273">
        <f>U152+U137+U71+U25+U166+U36</f>
        <v>7.5249000000000006</v>
      </c>
      <c r="V172" s="273">
        <f>V152+V137+V71+V25+V166+V36</f>
        <v>13.799299999999997</v>
      </c>
      <c r="W172" s="273"/>
      <c r="X172" s="273">
        <f>X152+X137+X71+X25+X166+X36</f>
        <v>28.749600000000001</v>
      </c>
      <c r="Y172" s="268"/>
      <c r="Z172" s="268"/>
      <c r="AA172" s="1103">
        <f>AA152+AA137+AA71+AA25+AA166+AA36</f>
        <v>1.1240000000000001</v>
      </c>
      <c r="AB172" s="268">
        <f>AB152+AB137+AB71+AB25+AB166+AB36</f>
        <v>140</v>
      </c>
      <c r="AC172" s="268">
        <f>AC152+AC137+AC71+AC25+AC166+AC36</f>
        <v>39</v>
      </c>
      <c r="AD172" s="276"/>
    </row>
    <row r="173" spans="1:30">
      <c r="A173" s="499"/>
      <c r="B173" s="1452" t="s">
        <v>439</v>
      </c>
      <c r="C173" s="1452"/>
      <c r="D173" s="164"/>
      <c r="E173" s="872"/>
      <c r="F173" s="305">
        <f>F72+F26+F37</f>
        <v>1810</v>
      </c>
      <c r="G173" s="305"/>
      <c r="H173" s="306"/>
      <c r="I173" s="306"/>
      <c r="J173" s="306"/>
      <c r="K173" s="307">
        <f>K72+K26+K37</f>
        <v>5264.2</v>
      </c>
      <c r="L173" s="307"/>
      <c r="M173" s="307">
        <f>M72+M26+M37</f>
        <v>5264.2</v>
      </c>
      <c r="N173" s="307"/>
      <c r="O173" s="307"/>
      <c r="P173" s="307">
        <f>P72+P26+P37</f>
        <v>3158.52</v>
      </c>
      <c r="Q173" s="305">
        <f>Q72+Q26+Q37</f>
        <v>601</v>
      </c>
      <c r="R173" s="1104"/>
      <c r="S173" s="305"/>
      <c r="T173" s="308">
        <f>T72+T26+T37</f>
        <v>1.3679999999999999</v>
      </c>
      <c r="U173" s="308"/>
      <c r="V173" s="308">
        <f>V72+V26+V37</f>
        <v>2.3160000000000003</v>
      </c>
      <c r="W173" s="308"/>
      <c r="X173" s="308">
        <f>X72+X26+X37</f>
        <v>3.6840000000000002</v>
      </c>
      <c r="Y173" s="305"/>
      <c r="Z173" s="305"/>
      <c r="AA173" s="1104">
        <f>AA72+AA26+AA37</f>
        <v>0.32600000000000001</v>
      </c>
      <c r="AB173" s="305">
        <f>AB72+AB26+AB37</f>
        <v>30</v>
      </c>
      <c r="AC173" s="305">
        <f>AC72+AC26+AC37</f>
        <v>5</v>
      </c>
      <c r="AD173" s="496"/>
    </row>
    <row r="174" spans="1:30">
      <c r="A174" s="321"/>
      <c r="B174" s="1451" t="s">
        <v>440</v>
      </c>
      <c r="C174" s="1451"/>
      <c r="D174" s="115"/>
      <c r="E174" s="315"/>
      <c r="F174" s="291">
        <f>F73+F27</f>
        <v>13003</v>
      </c>
      <c r="G174" s="291"/>
      <c r="H174" s="292"/>
      <c r="I174" s="292"/>
      <c r="J174" s="292"/>
      <c r="K174" s="295">
        <f>K73+K27</f>
        <v>22364.100000000002</v>
      </c>
      <c r="L174" s="295"/>
      <c r="M174" s="295">
        <f>M73+M27</f>
        <v>22364.100000000002</v>
      </c>
      <c r="N174" s="295"/>
      <c r="O174" s="295"/>
      <c r="P174" s="295">
        <f>P73+P27</f>
        <v>13418.460000000001</v>
      </c>
      <c r="Q174" s="291">
        <f>Q73+Q27</f>
        <v>883</v>
      </c>
      <c r="R174" s="1095"/>
      <c r="S174" s="291"/>
      <c r="T174" s="296">
        <f>T73+T27</f>
        <v>3.6890999999999998</v>
      </c>
      <c r="U174" s="296">
        <f>U73+U27</f>
        <v>2.5914999999999999</v>
      </c>
      <c r="V174" s="296">
        <f>V73+V27</f>
        <v>9.5610999999999997</v>
      </c>
      <c r="W174" s="296"/>
      <c r="X174" s="296">
        <f>X73+X27</f>
        <v>15.841699999999999</v>
      </c>
      <c r="Y174" s="291"/>
      <c r="Z174" s="291"/>
      <c r="AA174" s="1095">
        <f>AA73+AA27</f>
        <v>0.41699999999999998</v>
      </c>
      <c r="AB174" s="291">
        <f>AB73+AB27</f>
        <v>52</v>
      </c>
      <c r="AC174" s="291">
        <f>AC73+AC27</f>
        <v>32</v>
      </c>
      <c r="AD174" s="322"/>
    </row>
    <row r="175" spans="1:30">
      <c r="A175" s="321"/>
      <c r="B175" s="1454" t="s">
        <v>872</v>
      </c>
      <c r="C175" s="1454"/>
      <c r="D175" s="115"/>
      <c r="E175" s="315"/>
      <c r="F175" s="966">
        <f>F28+F75</f>
        <v>1040</v>
      </c>
      <c r="G175" s="291"/>
      <c r="H175" s="292"/>
      <c r="I175" s="292"/>
      <c r="J175" s="292"/>
      <c r="K175" s="966">
        <f>K28+K75</f>
        <v>1248</v>
      </c>
      <c r="L175" s="295"/>
      <c r="M175" s="966">
        <f>M28+M75</f>
        <v>1248</v>
      </c>
      <c r="N175" s="295"/>
      <c r="O175" s="295"/>
      <c r="P175" s="966">
        <f>P28+P75</f>
        <v>748.8</v>
      </c>
      <c r="Q175" s="966"/>
      <c r="R175" s="1105"/>
      <c r="S175" s="966"/>
      <c r="T175" s="967">
        <f>T28+T75</f>
        <v>0.31990000000000002</v>
      </c>
      <c r="U175" s="967">
        <f>U28+U75</f>
        <v>0.11</v>
      </c>
      <c r="V175" s="967">
        <f>V28+V75</f>
        <v>0.66720000000000002</v>
      </c>
      <c r="W175" s="967"/>
      <c r="X175" s="967">
        <f>X28+X75</f>
        <v>1.0971</v>
      </c>
      <c r="Y175" s="291"/>
      <c r="Z175" s="966"/>
      <c r="AA175" s="1105"/>
      <c r="AB175" s="966"/>
      <c r="AC175" s="966">
        <f>AC28+AC75</f>
        <v>2</v>
      </c>
      <c r="AD175" s="322"/>
    </row>
    <row r="176" spans="1:30">
      <c r="A176" s="321"/>
      <c r="B176" s="1454" t="s">
        <v>867</v>
      </c>
      <c r="C176" s="1454"/>
      <c r="D176" s="115"/>
      <c r="E176" s="315"/>
      <c r="F176" s="295">
        <f>F29+F76</f>
        <v>381</v>
      </c>
      <c r="G176" s="291"/>
      <c r="H176" s="292"/>
      <c r="I176" s="292"/>
      <c r="J176" s="292"/>
      <c r="K176" s="295"/>
      <c r="L176" s="295"/>
      <c r="M176" s="295"/>
      <c r="N176" s="295"/>
      <c r="O176" s="295"/>
      <c r="P176" s="295"/>
      <c r="Q176" s="295"/>
      <c r="R176" s="1095"/>
      <c r="S176" s="295"/>
      <c r="T176" s="296"/>
      <c r="U176" s="296"/>
      <c r="V176" s="296">
        <f>V29+V76</f>
        <v>0</v>
      </c>
      <c r="W176" s="296"/>
      <c r="X176" s="296"/>
      <c r="Y176" s="296"/>
      <c r="Z176" s="295"/>
      <c r="AA176" s="1095">
        <f>AA29+AA76</f>
        <v>0.38100000000000001</v>
      </c>
      <c r="AB176" s="295"/>
      <c r="AC176" s="295"/>
      <c r="AD176" s="322"/>
    </row>
    <row r="177" spans="1:30">
      <c r="A177" s="321"/>
      <c r="B177" s="1451" t="s">
        <v>442</v>
      </c>
      <c r="C177" s="1451"/>
      <c r="D177" s="115"/>
      <c r="E177" s="315"/>
      <c r="F177" s="295">
        <f>F167+F153+F138+F74</f>
        <v>3939</v>
      </c>
      <c r="G177" s="291"/>
      <c r="H177" s="292"/>
      <c r="I177" s="292"/>
      <c r="J177" s="292"/>
      <c r="K177" s="295">
        <f>K167+K153+K138+K74</f>
        <v>5686.0999999999995</v>
      </c>
      <c r="L177" s="295"/>
      <c r="M177" s="295">
        <f>M167+M153+M138+M74</f>
        <v>5686.0999999999995</v>
      </c>
      <c r="N177" s="295"/>
      <c r="O177" s="295"/>
      <c r="P177" s="295">
        <f>P167+P153+P138+P74</f>
        <v>3411.6599999999994</v>
      </c>
      <c r="Q177" s="295"/>
      <c r="R177" s="295"/>
      <c r="S177" s="295"/>
      <c r="T177" s="296">
        <f>T167+T153+T138+T74</f>
        <v>1.0627</v>
      </c>
      <c r="U177" s="296">
        <f>U167+U153+U138+U74</f>
        <v>0.42149999999999999</v>
      </c>
      <c r="V177" s="296">
        <f>V167+V153+V138+V74</f>
        <v>0.80690000000000006</v>
      </c>
      <c r="W177" s="296"/>
      <c r="X177" s="296">
        <f>X167+X153+X138+X74</f>
        <v>2.2910999999999997</v>
      </c>
      <c r="Y177" s="291"/>
      <c r="Z177" s="295"/>
      <c r="AA177" s="1095"/>
      <c r="AB177" s="295">
        <f>AB167+AB153+AB138+AB74</f>
        <v>8</v>
      </c>
      <c r="AC177" s="295"/>
      <c r="AD177" s="322"/>
    </row>
    <row r="178" spans="1:30">
      <c r="A178" s="497"/>
      <c r="B178" s="1451" t="s">
        <v>581</v>
      </c>
      <c r="C178" s="1451"/>
      <c r="D178" s="209"/>
      <c r="E178" s="871"/>
      <c r="F178" s="325">
        <f>F168</f>
        <v>38</v>
      </c>
      <c r="G178" s="323"/>
      <c r="H178" s="324"/>
      <c r="I178" s="324"/>
      <c r="J178" s="324"/>
      <c r="K178" s="325">
        <f>K168</f>
        <v>37.619999999999997</v>
      </c>
      <c r="L178" s="325"/>
      <c r="M178" s="325">
        <f>M168</f>
        <v>37.619999999999997</v>
      </c>
      <c r="N178" s="325"/>
      <c r="O178" s="325"/>
      <c r="P178" s="325">
        <f>P168</f>
        <v>8.6639999999999997</v>
      </c>
      <c r="Q178" s="325"/>
      <c r="R178" s="325">
        <f>R168</f>
        <v>23.18</v>
      </c>
      <c r="S178" s="325"/>
      <c r="T178" s="326">
        <f>T168</f>
        <v>3.04E-2</v>
      </c>
      <c r="U178" s="326"/>
      <c r="V178" s="326">
        <f>V168</f>
        <v>0</v>
      </c>
      <c r="W178" s="326"/>
      <c r="X178" s="326">
        <f>X168</f>
        <v>3.04E-2</v>
      </c>
      <c r="Y178" s="323"/>
      <c r="Z178" s="325"/>
      <c r="AA178" s="1106"/>
      <c r="AB178" s="325"/>
      <c r="AC178" s="325"/>
      <c r="AD178" s="498"/>
    </row>
    <row r="179" spans="1:30">
      <c r="A179" s="497"/>
      <c r="B179" s="1454" t="s">
        <v>877</v>
      </c>
      <c r="C179" s="1454"/>
      <c r="D179" s="209"/>
      <c r="E179" s="871"/>
      <c r="F179" s="325">
        <f>F140</f>
        <v>650</v>
      </c>
      <c r="G179" s="323"/>
      <c r="H179" s="324"/>
      <c r="I179" s="324"/>
      <c r="J179" s="324"/>
      <c r="K179" s="325">
        <f>K140</f>
        <v>780</v>
      </c>
      <c r="L179" s="325"/>
      <c r="M179" s="325">
        <f>M140</f>
        <v>780</v>
      </c>
      <c r="N179" s="325"/>
      <c r="O179" s="325"/>
      <c r="P179" s="325">
        <f>P140</f>
        <v>468</v>
      </c>
      <c r="Q179" s="325"/>
      <c r="R179" s="325"/>
      <c r="S179" s="325"/>
      <c r="T179" s="326">
        <f>T140</f>
        <v>0.1162</v>
      </c>
      <c r="U179" s="326">
        <f>U140</f>
        <v>8.7600000000000011E-2</v>
      </c>
      <c r="V179" s="326">
        <f>V140</f>
        <v>0.15920000000000001</v>
      </c>
      <c r="W179" s="326"/>
      <c r="X179" s="326">
        <f>X140</f>
        <v>0.36300000000000004</v>
      </c>
      <c r="Y179" s="323"/>
      <c r="Z179" s="325"/>
      <c r="AA179" s="1106"/>
      <c r="AB179" s="325"/>
      <c r="AC179" s="325"/>
      <c r="AD179" s="498"/>
    </row>
    <row r="180" spans="1:30">
      <c r="A180" s="497"/>
      <c r="B180" s="1454" t="s">
        <v>878</v>
      </c>
      <c r="C180" s="1454"/>
      <c r="D180" s="209"/>
      <c r="E180" s="871"/>
      <c r="F180" s="325">
        <f>F141</f>
        <v>843</v>
      </c>
      <c r="G180" s="323"/>
      <c r="H180" s="324"/>
      <c r="I180" s="324"/>
      <c r="J180" s="324"/>
      <c r="K180" s="325">
        <f>K141</f>
        <v>421.5</v>
      </c>
      <c r="L180" s="325"/>
      <c r="M180" s="325">
        <f>M141</f>
        <v>421.5</v>
      </c>
      <c r="N180" s="325"/>
      <c r="O180" s="325"/>
      <c r="P180" s="325">
        <f>P141</f>
        <v>252.89999999999998</v>
      </c>
      <c r="Q180" s="325"/>
      <c r="R180" s="325"/>
      <c r="S180" s="325"/>
      <c r="T180" s="326">
        <f>T141</f>
        <v>0.3372</v>
      </c>
      <c r="U180" s="326"/>
      <c r="V180" s="326">
        <f>V141</f>
        <v>0.1686</v>
      </c>
      <c r="W180" s="326"/>
      <c r="X180" s="326">
        <f>X141</f>
        <v>0.50580000000000003</v>
      </c>
      <c r="Y180" s="323"/>
      <c r="Z180" s="325"/>
      <c r="AA180" s="1106"/>
      <c r="AB180" s="325">
        <f>AB141</f>
        <v>4</v>
      </c>
      <c r="AC180" s="325"/>
      <c r="AD180" s="498"/>
    </row>
    <row r="181" spans="1:30" s="483" customFormat="1">
      <c r="A181" s="897"/>
      <c r="B181" s="1445" t="s">
        <v>577</v>
      </c>
      <c r="C181" s="1445"/>
      <c r="D181" s="481"/>
      <c r="E181" s="209"/>
      <c r="F181" s="481">
        <f>F169+F154+F139</f>
        <v>7221</v>
      </c>
      <c r="G181" s="481"/>
      <c r="H181" s="481"/>
      <c r="I181" s="481"/>
      <c r="J181" s="481"/>
      <c r="K181" s="608">
        <f>K169+K154+K139</f>
        <v>8581.260000000002</v>
      </c>
      <c r="L181" s="608"/>
      <c r="M181" s="608">
        <f>M169+M154+M139</f>
        <v>8581.260000000002</v>
      </c>
      <c r="N181" s="608"/>
      <c r="O181" s="608"/>
      <c r="P181" s="608">
        <f>P169+P154+P139</f>
        <v>2026.6</v>
      </c>
      <c r="Q181" s="481"/>
      <c r="R181" s="608">
        <f>R169+R154+R139</f>
        <v>5087.5499999999993</v>
      </c>
      <c r="S181" s="481"/>
      <c r="T181" s="609">
        <f>T169+T154+T139</f>
        <v>0.42299999999999999</v>
      </c>
      <c r="U181" s="609">
        <f>U169+U154+U139</f>
        <v>3.9095999999999993</v>
      </c>
      <c r="V181" s="609">
        <f>V169+V154+V139</f>
        <v>0</v>
      </c>
      <c r="W181" s="609"/>
      <c r="X181" s="609">
        <f>X169+X154+X139</f>
        <v>4.3325999999999993</v>
      </c>
      <c r="Y181" s="481"/>
      <c r="Z181" s="481"/>
      <c r="AA181" s="1107"/>
      <c r="AB181" s="481">
        <f>AB169+AB154+AB139</f>
        <v>46</v>
      </c>
      <c r="AC181" s="481"/>
      <c r="AD181" s="610"/>
    </row>
    <row r="182" spans="1:30" ht="15.75" thickBot="1">
      <c r="A182" s="497"/>
      <c r="B182" s="1445" t="s">
        <v>763</v>
      </c>
      <c r="C182" s="1445"/>
      <c r="D182" s="209"/>
      <c r="E182" s="138"/>
      <c r="F182" s="323">
        <f>F142+F170</f>
        <v>2026</v>
      </c>
      <c r="G182" s="138"/>
      <c r="H182" s="209"/>
      <c r="I182" s="209"/>
      <c r="J182" s="209"/>
      <c r="K182" s="325">
        <f>K142+K170</f>
        <v>388.8</v>
      </c>
      <c r="L182" s="139"/>
      <c r="M182" s="325">
        <f>M142+M170</f>
        <v>388.8</v>
      </c>
      <c r="N182" s="139"/>
      <c r="O182" s="139"/>
      <c r="P182" s="325">
        <f>P142+P170</f>
        <v>233.28</v>
      </c>
      <c r="Q182" s="323"/>
      <c r="R182" s="1106"/>
      <c r="S182" s="326">
        <f>S142+S170</f>
        <v>4.41E-2</v>
      </c>
      <c r="T182" s="326">
        <f>T142+T170</f>
        <v>3.4799999999999998E-2</v>
      </c>
      <c r="U182" s="326">
        <f>U142+U170</f>
        <v>0.40470000000000006</v>
      </c>
      <c r="V182" s="326">
        <f>V142+V170</f>
        <v>0.1203</v>
      </c>
      <c r="W182" s="326"/>
      <c r="X182" s="326">
        <f>X142+X170</f>
        <v>0.60389999999999999</v>
      </c>
      <c r="Y182" s="138"/>
      <c r="Z182" s="323"/>
      <c r="AA182" s="1106"/>
      <c r="AB182" s="323"/>
      <c r="AC182" s="323"/>
      <c r="AD182" s="140"/>
    </row>
    <row r="183" spans="1:30" ht="15.75" thickBot="1">
      <c r="A183" s="212"/>
      <c r="B183" s="878"/>
      <c r="C183" s="878"/>
      <c r="D183" s="780"/>
      <c r="E183" s="215"/>
      <c r="F183" s="215"/>
      <c r="G183" s="215"/>
      <c r="H183" s="780"/>
      <c r="I183" s="780"/>
      <c r="J183" s="780"/>
      <c r="K183" s="781"/>
      <c r="L183" s="782"/>
      <c r="M183" s="781"/>
      <c r="N183" s="215"/>
      <c r="O183" s="215"/>
      <c r="P183" s="781"/>
      <c r="Q183" s="781"/>
      <c r="R183" s="781"/>
      <c r="S183" s="784"/>
      <c r="T183" s="784"/>
      <c r="U183" s="784"/>
      <c r="V183" s="784"/>
      <c r="W183" s="783"/>
      <c r="X183" s="784"/>
      <c r="Y183" s="215"/>
      <c r="Z183" s="781"/>
      <c r="AA183" s="784"/>
      <c r="AB183" s="781"/>
      <c r="AC183" s="781"/>
      <c r="AD183" s="213"/>
    </row>
    <row r="184" spans="1:30">
      <c r="A184" s="45"/>
      <c r="B184" s="879"/>
      <c r="C184" s="879"/>
      <c r="D184" s="602"/>
      <c r="E184" s="45"/>
      <c r="F184" s="45"/>
      <c r="G184" s="45"/>
      <c r="H184" s="602"/>
      <c r="I184" s="602"/>
      <c r="J184" s="602"/>
      <c r="K184" s="603"/>
      <c r="L184" s="46"/>
      <c r="M184" s="46"/>
      <c r="N184" s="45"/>
      <c r="O184" s="45"/>
      <c r="P184" s="46"/>
      <c r="Q184" s="45"/>
      <c r="R184" s="45"/>
      <c r="S184" s="47"/>
      <c r="T184" s="47"/>
      <c r="U184" s="47"/>
      <c r="V184" s="47"/>
      <c r="W184" s="45"/>
      <c r="X184" s="604"/>
      <c r="Y184" s="45"/>
      <c r="Z184" s="45"/>
      <c r="AA184" s="45"/>
      <c r="AB184" s="45"/>
      <c r="AC184" s="45"/>
      <c r="AD184" s="45"/>
    </row>
    <row r="185" spans="1:30">
      <c r="A185" s="45"/>
      <c r="B185" s="879"/>
      <c r="C185" s="879"/>
      <c r="D185" s="602"/>
      <c r="E185" s="45"/>
      <c r="F185" s="45"/>
      <c r="G185" s="45"/>
      <c r="H185" s="602"/>
      <c r="I185" s="602"/>
      <c r="J185" s="602"/>
      <c r="K185" s="603"/>
      <c r="L185" s="46"/>
      <c r="M185" s="46"/>
      <c r="N185" s="45"/>
      <c r="O185" s="45"/>
      <c r="P185" s="46"/>
      <c r="Q185" s="45"/>
      <c r="R185" s="45"/>
      <c r="S185" s="47"/>
      <c r="T185" s="47"/>
      <c r="U185" s="47"/>
      <c r="V185" s="47"/>
      <c r="W185" s="45"/>
      <c r="X185" s="604"/>
      <c r="Y185" s="45"/>
      <c r="Z185" s="45"/>
      <c r="AA185" s="45"/>
      <c r="AB185" s="45"/>
      <c r="AC185" s="45"/>
      <c r="AD185" s="45"/>
    </row>
    <row r="186" spans="1:30">
      <c r="A186" s="45"/>
      <c r="B186" s="879"/>
      <c r="C186" s="879"/>
      <c r="D186" s="602"/>
      <c r="E186" s="45"/>
      <c r="F186" s="45"/>
      <c r="G186" s="45"/>
      <c r="H186" s="602"/>
      <c r="I186" s="602"/>
      <c r="J186" s="602"/>
      <c r="K186" s="603"/>
      <c r="L186" s="46"/>
      <c r="M186" s="46"/>
      <c r="N186" s="45"/>
      <c r="O186" s="45"/>
      <c r="P186" s="46"/>
      <c r="Q186" s="45"/>
      <c r="R186" s="45"/>
      <c r="S186" s="47"/>
      <c r="T186" s="47"/>
      <c r="U186" s="47"/>
      <c r="V186" s="47"/>
      <c r="W186" s="45"/>
      <c r="X186" s="604"/>
      <c r="Y186" s="45"/>
      <c r="Z186" s="45"/>
      <c r="AA186" s="45"/>
      <c r="AB186" s="45"/>
      <c r="AC186" s="45"/>
      <c r="AD186" s="45"/>
    </row>
    <row r="187" spans="1:30">
      <c r="A187" s="45"/>
      <c r="B187" s="879"/>
      <c r="C187" s="879"/>
      <c r="D187" s="602"/>
      <c r="E187" s="45"/>
      <c r="F187" s="45"/>
      <c r="G187" s="45"/>
      <c r="H187" s="602"/>
      <c r="I187" s="602"/>
      <c r="J187" s="602"/>
      <c r="K187" s="603"/>
      <c r="L187" s="46"/>
      <c r="M187" s="46"/>
      <c r="N187" s="45"/>
      <c r="O187" s="45"/>
      <c r="P187" s="46"/>
      <c r="Q187" s="45"/>
      <c r="R187" s="45"/>
      <c r="S187" s="47"/>
      <c r="T187" s="47"/>
      <c r="U187" s="47"/>
      <c r="V187" s="47"/>
      <c r="W187" s="45"/>
      <c r="X187" s="604"/>
      <c r="Y187" s="45"/>
      <c r="Z187" s="45"/>
      <c r="AA187" s="45"/>
      <c r="AB187" s="45"/>
      <c r="AC187" s="45"/>
      <c r="AD187" s="45"/>
    </row>
    <row r="188" spans="1:30">
      <c r="A188" s="45"/>
      <c r="B188" s="879"/>
      <c r="C188" s="879"/>
      <c r="D188" s="602"/>
      <c r="E188" s="45"/>
      <c r="F188" s="45"/>
      <c r="G188" s="45"/>
      <c r="H188" s="602"/>
      <c r="I188" s="602"/>
      <c r="J188" s="602"/>
      <c r="K188" s="603"/>
      <c r="L188" s="46"/>
      <c r="M188" s="46"/>
      <c r="N188" s="45"/>
      <c r="O188" s="45"/>
      <c r="P188" s="46"/>
      <c r="Q188" s="45"/>
      <c r="R188" s="45"/>
      <c r="S188" s="47"/>
      <c r="T188" s="47"/>
      <c r="U188" s="47"/>
      <c r="V188" s="47"/>
      <c r="W188" s="45"/>
      <c r="X188" s="604"/>
      <c r="Y188" s="45"/>
      <c r="Z188" s="45"/>
      <c r="AA188" s="45"/>
      <c r="AB188" s="45"/>
      <c r="AC188" s="45"/>
      <c r="AD188" s="45"/>
    </row>
    <row r="189" spans="1:30">
      <c r="A189" s="45"/>
      <c r="B189" s="879"/>
      <c r="C189" s="879"/>
      <c r="D189" s="602"/>
      <c r="E189" s="45"/>
      <c r="F189" s="45"/>
      <c r="G189" s="45"/>
      <c r="H189" s="602"/>
      <c r="I189" s="602"/>
      <c r="J189" s="602"/>
      <c r="K189" s="603"/>
      <c r="L189" s="46"/>
      <c r="M189" s="46"/>
      <c r="N189" s="45"/>
      <c r="O189" s="45"/>
      <c r="P189" s="46"/>
      <c r="Q189" s="45"/>
      <c r="R189" s="45"/>
      <c r="S189" s="47"/>
      <c r="T189" s="47"/>
      <c r="U189" s="47"/>
      <c r="V189" s="47"/>
      <c r="W189" s="45"/>
      <c r="X189" s="604"/>
      <c r="Y189" s="45"/>
      <c r="Z189" s="45"/>
      <c r="AA189" s="45"/>
      <c r="AB189" s="45"/>
      <c r="AC189" s="45"/>
      <c r="AD189" s="45"/>
    </row>
    <row r="190" spans="1:30">
      <c r="A190" s="45"/>
      <c r="B190" s="879"/>
      <c r="C190" s="879"/>
      <c r="D190" s="602"/>
      <c r="E190" s="45"/>
      <c r="F190" s="45"/>
      <c r="G190" s="45"/>
      <c r="H190" s="602"/>
      <c r="I190" s="602"/>
      <c r="J190" s="602"/>
      <c r="K190" s="603"/>
      <c r="L190" s="46"/>
      <c r="M190" s="46"/>
      <c r="N190" s="45"/>
      <c r="O190" s="45"/>
      <c r="P190" s="46"/>
      <c r="Q190" s="45"/>
      <c r="R190" s="45"/>
      <c r="S190" s="47"/>
      <c r="T190" s="47"/>
      <c r="U190" s="47"/>
      <c r="V190" s="47"/>
      <c r="W190" s="45"/>
      <c r="X190" s="604"/>
      <c r="Y190" s="45"/>
      <c r="Z190" s="45"/>
      <c r="AA190" s="45"/>
      <c r="AB190" s="45"/>
      <c r="AC190" s="45"/>
      <c r="AD190" s="45"/>
    </row>
    <row r="191" spans="1:30">
      <c r="A191" s="45"/>
      <c r="B191" s="879"/>
      <c r="C191" s="879"/>
      <c r="D191" s="602"/>
      <c r="E191" s="45"/>
      <c r="F191" s="45"/>
      <c r="G191" s="45"/>
      <c r="H191" s="602"/>
      <c r="I191" s="602"/>
      <c r="J191" s="602"/>
      <c r="K191" s="603"/>
      <c r="L191" s="46"/>
      <c r="M191" s="46"/>
      <c r="N191" s="45"/>
      <c r="O191" s="45"/>
      <c r="P191" s="46"/>
      <c r="Q191" s="45"/>
      <c r="R191" s="45"/>
      <c r="S191" s="47"/>
      <c r="T191" s="47"/>
      <c r="U191" s="47"/>
      <c r="V191" s="47"/>
      <c r="W191" s="45"/>
      <c r="X191" s="604"/>
      <c r="Y191" s="45"/>
      <c r="Z191" s="45"/>
      <c r="AA191" s="45"/>
      <c r="AB191" s="45"/>
      <c r="AC191" s="45"/>
      <c r="AD191" s="45"/>
    </row>
  </sheetData>
  <mergeCells count="82">
    <mergeCell ref="B175:C175"/>
    <mergeCell ref="B36:C36"/>
    <mergeCell ref="B37:C37"/>
    <mergeCell ref="B139:C139"/>
    <mergeCell ref="B142:C142"/>
    <mergeCell ref="B137:C137"/>
    <mergeCell ref="B138:C138"/>
    <mergeCell ref="A80:B80"/>
    <mergeCell ref="B140:C140"/>
    <mergeCell ref="A156:B156"/>
    <mergeCell ref="I3:J3"/>
    <mergeCell ref="K3:O3"/>
    <mergeCell ref="E4:E7"/>
    <mergeCell ref="F4:F6"/>
    <mergeCell ref="G4:G6"/>
    <mergeCell ref="H4:H7"/>
    <mergeCell ref="I4:I6"/>
    <mergeCell ref="J4:J6"/>
    <mergeCell ref="K4:M4"/>
    <mergeCell ref="N4:N6"/>
    <mergeCell ref="O4:O6"/>
    <mergeCell ref="K5:L5"/>
    <mergeCell ref="M5:M6"/>
    <mergeCell ref="AD3:AD7"/>
    <mergeCell ref="X3:Y3"/>
    <mergeCell ref="Z3:Z6"/>
    <mergeCell ref="AA3:AA6"/>
    <mergeCell ref="AB3:AB6"/>
    <mergeCell ref="AC3:AC6"/>
    <mergeCell ref="Y4:Y6"/>
    <mergeCell ref="X4:X6"/>
    <mergeCell ref="S4:T5"/>
    <mergeCell ref="U4:V5"/>
    <mergeCell ref="W4:W6"/>
    <mergeCell ref="P3:Q5"/>
    <mergeCell ref="S3:W3"/>
    <mergeCell ref="R3:R6"/>
    <mergeCell ref="D4:D7"/>
    <mergeCell ref="B71:C71"/>
    <mergeCell ref="B72:C72"/>
    <mergeCell ref="A41:B41"/>
    <mergeCell ref="A40:B40"/>
    <mergeCell ref="B26:C26"/>
    <mergeCell ref="B25:C25"/>
    <mergeCell ref="A9:B9"/>
    <mergeCell ref="A10:B10"/>
    <mergeCell ref="A3:A7"/>
    <mergeCell ref="B3:H3"/>
    <mergeCell ref="B27:C27"/>
    <mergeCell ref="B28:C28"/>
    <mergeCell ref="B154:C154"/>
    <mergeCell ref="A144:B144"/>
    <mergeCell ref="A81:B81"/>
    <mergeCell ref="A143:B143"/>
    <mergeCell ref="B4:B7"/>
    <mergeCell ref="C4:C7"/>
    <mergeCell ref="B73:C73"/>
    <mergeCell ref="B74:C74"/>
    <mergeCell ref="A31:B31"/>
    <mergeCell ref="A32:B32"/>
    <mergeCell ref="B152:C152"/>
    <mergeCell ref="B153:C153"/>
    <mergeCell ref="B75:C75"/>
    <mergeCell ref="B29:C29"/>
    <mergeCell ref="B141:C141"/>
    <mergeCell ref="B76:C76"/>
    <mergeCell ref="B182:C182"/>
    <mergeCell ref="A157:B157"/>
    <mergeCell ref="B166:C166"/>
    <mergeCell ref="B169:C169"/>
    <mergeCell ref="B181:C181"/>
    <mergeCell ref="B178:C178"/>
    <mergeCell ref="B173:C173"/>
    <mergeCell ref="B174:C174"/>
    <mergeCell ref="B177:C177"/>
    <mergeCell ref="B168:C168"/>
    <mergeCell ref="B167:C167"/>
    <mergeCell ref="B180:C180"/>
    <mergeCell ref="B176:C176"/>
    <mergeCell ref="B172:C172"/>
    <mergeCell ref="B170:C170"/>
    <mergeCell ref="B179:C179"/>
  </mergeCells>
  <phoneticPr fontId="59" type="noConversion"/>
  <pageMargins left="0.31496062992125984" right="0" top="0.35433070866141736" bottom="0.35433070866141736" header="0.31496062992125984" footer="0.31496062992125984"/>
  <pageSetup paperSize="8" scale="56" orientation="landscape" r:id="rId1"/>
  <rowBreaks count="3" manualBreakCount="3">
    <brk id="38" max="29" man="1"/>
    <brk id="76" max="29" man="1"/>
    <brk id="109" max="29" man="1"/>
  </rowBreaks>
  <colBreaks count="1" manualBreakCount="1">
    <brk id="30" max="1048575" man="1"/>
  </colBreaks>
  <ignoredErrors>
    <ignoredError sqref="B17:B23 B11:B15" numberStoredAsText="1"/>
    <ignoredError sqref="T49 T61 V96 P115 P118:P119 R1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12</vt:i4>
      </vt:variant>
    </vt:vector>
  </HeadingPairs>
  <TitlesOfParts>
    <vt:vector size="30" baseType="lpstr">
      <vt:lpstr>Tab1</vt:lpstr>
      <vt:lpstr>Tab2a</vt:lpstr>
      <vt:lpstr>Tab2b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 TEE</vt:lpstr>
      <vt:lpstr>Tab12</vt:lpstr>
      <vt:lpstr>Tab13</vt:lpstr>
      <vt:lpstr>Tab13.</vt:lpstr>
      <vt:lpstr>Tab14A</vt:lpstr>
      <vt:lpstr>Tab14B</vt:lpstr>
      <vt:lpstr>Sheet1</vt:lpstr>
      <vt:lpstr>'Tab1'!Print_Area</vt:lpstr>
      <vt:lpstr>'Tab10'!Print_Area</vt:lpstr>
      <vt:lpstr>'Tab11 TEE'!Print_Area</vt:lpstr>
      <vt:lpstr>'Tab12'!Print_Area</vt:lpstr>
      <vt:lpstr>Tab13.!Print_Area</vt:lpstr>
      <vt:lpstr>Tab14A!Print_Area</vt:lpstr>
      <vt:lpstr>Tab14B!Print_Area</vt:lpstr>
      <vt:lpstr>Tab2a!Print_Area</vt:lpstr>
      <vt:lpstr>Tab2b!Print_Area</vt:lpstr>
      <vt:lpstr>'Tab3'!Print_Area</vt:lpstr>
      <vt:lpstr>'Tab8'!Print_Area</vt:lpstr>
      <vt:lpstr>'Tab9'!Print_Area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Windowsi kasutaja</dc:creator>
  <cp:lastModifiedBy>Kasutaja</cp:lastModifiedBy>
  <cp:lastPrinted>2022-11-30T11:55:06Z</cp:lastPrinted>
  <dcterms:created xsi:type="dcterms:W3CDTF">2021-03-19T19:53:48Z</dcterms:created>
  <dcterms:modified xsi:type="dcterms:W3CDTF">2024-10-17T12:51:39Z</dcterms:modified>
</cp:coreProperties>
</file>